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namedSheetViews/namedSheetView1.xml" ContentType="application/vnd.ms-excel.namedsheetview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partnereifer.sharepoint.com/sites/U2DEMO/Freigegebene Dokumente/WPs/WP 1/03_Working Docs/"/>
    </mc:Choice>
  </mc:AlternateContent>
  <xr:revisionPtr revIDLastSave="2165" documentId="8_{802F91B1-FDD5-4835-9F4B-C1A681374282}" xr6:coauthVersionLast="47" xr6:coauthVersionMax="47" xr10:uidLastSave="{59324EAF-9032-4677-BED3-29CBF67C1C48}"/>
  <bookViews>
    <workbookView xWindow="-16575" yWindow="-21750" windowWidth="38640" windowHeight="21120" firstSheet="1" activeTab="9" xr2:uid="{9FB2E87D-2E37-402B-8DA6-EAA758747D0D}"/>
  </bookViews>
  <sheets>
    <sheet name="Outlook" sheetId="1" r:id="rId1"/>
    <sheet name="Categories List" sheetId="3" r:id="rId2"/>
    <sheet name="Applications List" sheetId="4" r:id="rId3"/>
    <sheet name="Priorities List" sheetId="5" r:id="rId4"/>
    <sheet name="Open Source Tools" sheetId="7" r:id="rId5"/>
    <sheet name="TRL Metrics Score" sheetId="10" r:id="rId6"/>
    <sheet name="TRL per Applications" sheetId="11" r:id="rId7"/>
    <sheet name="Heat Map" sheetId="16" r:id="rId8"/>
    <sheet name="FunctionalityMapping" sheetId="13" r:id="rId9"/>
    <sheet name="Interoperability Assessment" sheetId="14" r:id="rId10"/>
    <sheet name="SUM" sheetId="15" r:id="rId11"/>
  </sheets>
  <definedNames>
    <definedName name="_xlnm._FilterDatabase" localSheetId="2" hidden="1">'Applications List'!$A$3:$F$181</definedName>
    <definedName name="_xlnm._FilterDatabase" localSheetId="1" hidden="1">'Categories List'!$A$2:$G$37</definedName>
    <definedName name="_xlnm._FilterDatabase" localSheetId="4" hidden="1">'Open Source Tools'!$B$2:$W$206</definedName>
    <definedName name="_xlnm._FilterDatabase" localSheetId="3" hidden="1">'Priorities List'!$A$3:$L$90</definedName>
    <definedName name="_xlnm._FilterDatabase" localSheetId="5" hidden="1">'TRL Metrics Score'!$A$4:$AC$208</definedName>
    <definedName name="_xlnm._FilterDatabase" localSheetId="6" hidden="1">'TRL per Applications'!$A$4:$AD$83</definedName>
    <definedName name="_xlnm.Print_Area" localSheetId="2">'Applications List'!$A$1:$Z$182</definedName>
    <definedName name="_xlnm.Print_Area" localSheetId="7">'Heat Map'!$O$1:$W$35</definedName>
    <definedName name="_xlnm.Print_Area" localSheetId="4">'Open Source Tools'!$B$1:$X$207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6" i="10" l="1"/>
  <c r="D38" i="16"/>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6" i="15"/>
  <c r="H38" i="16"/>
  <c r="Q51" i="13"/>
  <c r="C18" i="16"/>
  <c r="A33"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H66" i="16"/>
  <c r="H67"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38"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4" i="16"/>
  <c r="J33" i="16" a="1"/>
  <c r="J33" i="16"/>
  <c r="J32" i="16" a="1"/>
  <c r="J32" i="16"/>
  <c r="J31" i="16" a="1"/>
  <c r="J31" i="16" s="1"/>
  <c r="J30" i="16" a="1"/>
  <c r="J30" i="16"/>
  <c r="J29" i="16" a="1"/>
  <c r="J29" i="16"/>
  <c r="J28" i="16" a="1"/>
  <c r="J28" i="16"/>
  <c r="J27" i="16" a="1"/>
  <c r="J27" i="16"/>
  <c r="J26" i="16" a="1"/>
  <c r="J26" i="16"/>
  <c r="J25" i="16" a="1"/>
  <c r="J25" i="16" s="1"/>
  <c r="J24" i="16" a="1"/>
  <c r="J24" i="16"/>
  <c r="J23" i="16" a="1"/>
  <c r="J23" i="16"/>
  <c r="J22" i="16" a="1"/>
  <c r="J22" i="16"/>
  <c r="J21" i="16" a="1"/>
  <c r="J21" i="16"/>
  <c r="J20" i="16" a="1"/>
  <c r="J20" i="16" s="1"/>
  <c r="J19" i="16" a="1"/>
  <c r="J19" i="16" s="1"/>
  <c r="J18" i="16" a="1"/>
  <c r="J18" i="16"/>
  <c r="J17" i="16" a="1"/>
  <c r="J17" i="16"/>
  <c r="J16" i="16" a="1"/>
  <c r="J16" i="16"/>
  <c r="J15" i="16" a="1"/>
  <c r="J15" i="16"/>
  <c r="J14" i="16" a="1"/>
  <c r="J14" i="16"/>
  <c r="J13" i="16" a="1"/>
  <c r="J13" i="16" s="1"/>
  <c r="J12" i="16" a="1"/>
  <c r="J12" i="16"/>
  <c r="J11" i="16" a="1"/>
  <c r="J11" i="16"/>
  <c r="J10" i="16" a="1"/>
  <c r="J10" i="16"/>
  <c r="J9" i="16" a="1"/>
  <c r="J9" i="16"/>
  <c r="J8" i="16" a="1"/>
  <c r="J8" i="16"/>
  <c r="J7" i="16" a="1"/>
  <c r="J7" i="16" s="1"/>
  <c r="J6" i="16" a="1"/>
  <c r="J6" i="16"/>
  <c r="J5" i="16" a="1"/>
  <c r="J5" i="16"/>
  <c r="I5" i="16"/>
  <c r="I6" i="16"/>
  <c r="I7" i="16"/>
  <c r="I8" i="16"/>
  <c r="I9" i="16"/>
  <c r="I10" i="16"/>
  <c r="I11" i="16"/>
  <c r="I12" i="16"/>
  <c r="I13" i="16"/>
  <c r="I14" i="16"/>
  <c r="I15" i="16"/>
  <c r="I16" i="16"/>
  <c r="I17" i="16"/>
  <c r="I18" i="16"/>
  <c r="I19" i="16"/>
  <c r="I20" i="16"/>
  <c r="I21" i="16"/>
  <c r="I22" i="16"/>
  <c r="I23" i="16"/>
  <c r="I24" i="16"/>
  <c r="I25" i="16"/>
  <c r="I26" i="16"/>
  <c r="I27" i="16"/>
  <c r="I28" i="16"/>
  <c r="I29" i="16"/>
  <c r="I30" i="16"/>
  <c r="I31" i="16"/>
  <c r="I32" i="16"/>
  <c r="I33" i="16"/>
  <c r="I4" i="16"/>
  <c r="J4" i="16" s="1" a="1"/>
  <c r="J4" i="16" s="1"/>
  <c r="H5" i="16"/>
  <c r="H6"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4" i="16"/>
  <c r="G33" i="16"/>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4" i="16"/>
  <c r="E5" i="16"/>
  <c r="E6" i="16"/>
  <c r="E7" i="16"/>
  <c r="E8" i="16"/>
  <c r="E9" i="16"/>
  <c r="E10" i="16"/>
  <c r="E11" i="16"/>
  <c r="E12" i="16"/>
  <c r="E13" i="16"/>
  <c r="E14" i="16"/>
  <c r="E15" i="16"/>
  <c r="E16" i="16"/>
  <c r="E17" i="16"/>
  <c r="E18" i="16"/>
  <c r="E19" i="16"/>
  <c r="E20" i="16"/>
  <c r="E21" i="16"/>
  <c r="E22" i="16"/>
  <c r="E23" i="16"/>
  <c r="E24" i="16"/>
  <c r="E25" i="16"/>
  <c r="E26" i="16"/>
  <c r="E27" i="16"/>
  <c r="E28" i="16"/>
  <c r="E29" i="16"/>
  <c r="E30" i="16"/>
  <c r="E31" i="16"/>
  <c r="E32" i="16"/>
  <c r="E33" i="16"/>
  <c r="E4" i="16"/>
  <c r="I38" i="16"/>
  <c r="J38" i="16" s="1" a="1"/>
  <c r="J38" i="16" s="1"/>
  <c r="I39" i="16"/>
  <c r="J39" i="16" s="1" a="1"/>
  <c r="J39" i="16" s="1"/>
  <c r="I40" i="16"/>
  <c r="J40" i="16" s="1" a="1"/>
  <c r="J40" i="16" s="1"/>
  <c r="I41" i="16"/>
  <c r="J41" i="16" s="1" a="1"/>
  <c r="J41" i="16" s="1"/>
  <c r="I42" i="16"/>
  <c r="J42" i="16" s="1" a="1"/>
  <c r="J42" i="16" s="1"/>
  <c r="I43" i="16"/>
  <c r="J43" i="16" s="1" a="1"/>
  <c r="J43" i="16" s="1"/>
  <c r="I44" i="16"/>
  <c r="J44" i="16" s="1" a="1"/>
  <c r="J44" i="16" s="1"/>
  <c r="I45" i="16"/>
  <c r="J45" i="16" s="1" a="1"/>
  <c r="J45" i="16" s="1"/>
  <c r="I46" i="16"/>
  <c r="J46" i="16" s="1" a="1"/>
  <c r="J46" i="16" s="1"/>
  <c r="I47" i="16"/>
  <c r="J47" i="16" s="1" a="1"/>
  <c r="J47" i="16" s="1"/>
  <c r="I48" i="16"/>
  <c r="J48" i="16" s="1" a="1"/>
  <c r="J48" i="16" s="1"/>
  <c r="I49" i="16"/>
  <c r="J49" i="16" s="1" a="1"/>
  <c r="J49" i="16" s="1"/>
  <c r="I50" i="16"/>
  <c r="J50" i="16" s="1" a="1"/>
  <c r="J50" i="16" s="1"/>
  <c r="I51" i="16"/>
  <c r="J51" i="16" s="1" a="1"/>
  <c r="J51" i="16" s="1"/>
  <c r="I52" i="16"/>
  <c r="J52" i="16" s="1" a="1"/>
  <c r="J52" i="16" s="1"/>
  <c r="I53" i="16"/>
  <c r="J53" i="16" s="1" a="1"/>
  <c r="J53" i="16" s="1"/>
  <c r="I54" i="16"/>
  <c r="J54" i="16" s="1" a="1"/>
  <c r="J54" i="16" s="1"/>
  <c r="I55" i="16"/>
  <c r="J55" i="16" s="1" a="1"/>
  <c r="J55" i="16" s="1"/>
  <c r="I56" i="16"/>
  <c r="J56" i="16" s="1" a="1"/>
  <c r="J56" i="16" s="1"/>
  <c r="I58" i="16"/>
  <c r="J58" i="16" s="1" a="1"/>
  <c r="J58" i="16" s="1"/>
  <c r="I59" i="16"/>
  <c r="J59" i="16" s="1" a="1"/>
  <c r="J59" i="16" s="1"/>
  <c r="I60" i="16"/>
  <c r="J60" i="16" s="1" a="1"/>
  <c r="J60" i="16" s="1"/>
  <c r="I61" i="16"/>
  <c r="J61" i="16" s="1" a="1"/>
  <c r="J61" i="16" s="1"/>
  <c r="I62" i="16"/>
  <c r="J62" i="16" s="1" a="1"/>
  <c r="J62" i="16" s="1"/>
  <c r="I63" i="16"/>
  <c r="J63" i="16" s="1" a="1"/>
  <c r="J63" i="16" s="1"/>
  <c r="I64" i="16"/>
  <c r="J64" i="16" s="1" a="1"/>
  <c r="J64" i="16" s="1"/>
  <c r="I65" i="16"/>
  <c r="J65" i="16" s="1" a="1"/>
  <c r="J65" i="16" s="1"/>
  <c r="I66" i="16"/>
  <c r="J66" i="16" s="1" a="1"/>
  <c r="J66" i="16" s="1"/>
  <c r="I67" i="16"/>
  <c r="J67" i="16" s="1" a="1"/>
  <c r="J67" i="16" s="1"/>
  <c r="I57" i="16"/>
  <c r="J57" i="16" s="1" a="1"/>
  <c r="J57" i="16" s="1"/>
  <c r="Q32" i="13"/>
  <c r="N31" i="14"/>
  <c r="A31" i="14"/>
  <c r="A32" i="13"/>
  <c r="C59" i="16"/>
  <c r="A5" i="14"/>
  <c r="A6" i="14"/>
  <c r="A7" i="14"/>
  <c r="A8" i="14"/>
  <c r="A9" i="14"/>
  <c r="A10" i="14"/>
  <c r="A11" i="14"/>
  <c r="A12" i="14"/>
  <c r="A13" i="14"/>
  <c r="A14" i="14"/>
  <c r="A24" i="14"/>
  <c r="A25" i="14"/>
  <c r="A26" i="14"/>
  <c r="A27" i="14"/>
  <c r="A28" i="14"/>
  <c r="A30" i="14"/>
  <c r="A15" i="14"/>
  <c r="A16" i="14"/>
  <c r="A17" i="14"/>
  <c r="A18" i="14"/>
  <c r="A19" i="14"/>
  <c r="A20" i="14"/>
  <c r="A21" i="14"/>
  <c r="A22" i="14"/>
  <c r="A23" i="14"/>
  <c r="A32" i="14"/>
  <c r="A29" i="14"/>
  <c r="A33" i="14"/>
  <c r="A4" i="14"/>
  <c r="A41" i="13"/>
  <c r="A42" i="13"/>
  <c r="A43" i="13"/>
  <c r="A44" i="13"/>
  <c r="A45" i="13"/>
  <c r="A46" i="13"/>
  <c r="A47" i="13"/>
  <c r="A48" i="13"/>
  <c r="A49" i="13"/>
  <c r="A50" i="13"/>
  <c r="A51" i="13"/>
  <c r="A40" i="13"/>
  <c r="A6" i="13"/>
  <c r="A7" i="13"/>
  <c r="A8" i="13"/>
  <c r="A9" i="13"/>
  <c r="A10" i="13"/>
  <c r="A11" i="13"/>
  <c r="A12" i="13"/>
  <c r="A13" i="13"/>
  <c r="A14" i="13"/>
  <c r="A15" i="13"/>
  <c r="A25" i="13"/>
  <c r="A26" i="13"/>
  <c r="A27" i="13"/>
  <c r="A28" i="13"/>
  <c r="A29" i="13"/>
  <c r="A31" i="13"/>
  <c r="A16" i="13"/>
  <c r="A17" i="13"/>
  <c r="A18" i="13"/>
  <c r="A19" i="13"/>
  <c r="A20" i="13"/>
  <c r="A21" i="13"/>
  <c r="A22" i="13"/>
  <c r="A23" i="13"/>
  <c r="A24" i="13"/>
  <c r="A33" i="13"/>
  <c r="A30" i="13"/>
  <c r="A34" i="13"/>
  <c r="A5" i="13"/>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5" i="11"/>
  <c r="A5" i="10"/>
  <c r="A6" i="10"/>
  <c r="A8" i="10"/>
  <c r="A9" i="10"/>
  <c r="A10" i="10"/>
  <c r="A11" i="10"/>
  <c r="A13" i="10"/>
  <c r="A12" i="10"/>
  <c r="A7" i="10"/>
  <c r="A14" i="10"/>
  <c r="A15" i="10"/>
  <c r="A16" i="10"/>
  <c r="A18" i="10"/>
  <c r="A20" i="10"/>
  <c r="A21" i="10"/>
  <c r="A26" i="10"/>
  <c r="A29" i="10"/>
  <c r="A47" i="10"/>
  <c r="A38" i="10"/>
  <c r="A37" i="10"/>
  <c r="A22" i="10"/>
  <c r="A41" i="10"/>
  <c r="A36" i="10"/>
  <c r="A42" i="10"/>
  <c r="A43" i="10"/>
  <c r="A44" i="10"/>
  <c r="A25" i="10"/>
  <c r="A45" i="10"/>
  <c r="A31" i="10"/>
  <c r="A49" i="10"/>
  <c r="A46" i="10"/>
  <c r="A50" i="10"/>
  <c r="A32" i="10"/>
  <c r="A51" i="10"/>
  <c r="A52" i="10"/>
  <c r="A53" i="10"/>
  <c r="A54" i="10"/>
  <c r="A27" i="10"/>
  <c r="A33" i="10"/>
  <c r="A39" i="10"/>
  <c r="A34" i="10"/>
  <c r="A55" i="10"/>
  <c r="A35" i="10"/>
  <c r="A24" i="10"/>
  <c r="A56" i="10"/>
  <c r="A19" i="10"/>
  <c r="A57" i="10"/>
  <c r="A58" i="10"/>
  <c r="A59" i="10"/>
  <c r="A23" i="10"/>
  <c r="A60" i="10"/>
  <c r="A61" i="10"/>
  <c r="A62" i="10"/>
  <c r="A63" i="10"/>
  <c r="A64" i="10"/>
  <c r="A65" i="10"/>
  <c r="A66" i="10"/>
  <c r="A40" i="10"/>
  <c r="A17" i="10"/>
  <c r="A67" i="10"/>
  <c r="A68" i="10"/>
  <c r="A69" i="10"/>
  <c r="A48" i="10"/>
  <c r="A70" i="10"/>
  <c r="A71" i="10"/>
  <c r="A72" i="10"/>
  <c r="A73" i="10"/>
  <c r="A74" i="10"/>
  <c r="A30" i="10"/>
  <c r="A75" i="10"/>
  <c r="A76" i="10"/>
  <c r="A28" i="10"/>
  <c r="A78" i="10"/>
  <c r="A79" i="10"/>
  <c r="A80" i="10"/>
  <c r="A82" i="10"/>
  <c r="A85" i="10"/>
  <c r="A88" i="10"/>
  <c r="A81" i="10"/>
  <c r="A89" i="10"/>
  <c r="A93" i="10"/>
  <c r="A92" i="10"/>
  <c r="A77" i="10"/>
  <c r="A97" i="10"/>
  <c r="A91" i="10"/>
  <c r="A98" i="10"/>
  <c r="A99" i="10"/>
  <c r="A84" i="10"/>
  <c r="A100" i="10"/>
  <c r="A101" i="10"/>
  <c r="A87" i="10"/>
  <c r="A102" i="10"/>
  <c r="A103" i="10"/>
  <c r="A104" i="10"/>
  <c r="A95" i="10"/>
  <c r="A106" i="10"/>
  <c r="A107" i="10"/>
  <c r="A108" i="10"/>
  <c r="A83" i="10"/>
  <c r="A94" i="10"/>
  <c r="A86" i="10"/>
  <c r="A109" i="10"/>
  <c r="A110" i="10"/>
  <c r="A111" i="10"/>
  <c r="A112" i="10"/>
  <c r="A113" i="10"/>
  <c r="A114" i="10"/>
  <c r="A115" i="10"/>
  <c r="A116" i="10"/>
  <c r="A96" i="10"/>
  <c r="A117" i="10"/>
  <c r="A119" i="10"/>
  <c r="A118" i="10"/>
  <c r="A120" i="10"/>
  <c r="A121" i="10"/>
  <c r="A90" i="10"/>
  <c r="A122" i="10"/>
  <c r="A123" i="10"/>
  <c r="A124" i="10"/>
  <c r="A125" i="10"/>
  <c r="A129" i="10"/>
  <c r="A130" i="10"/>
  <c r="A126" i="10"/>
  <c r="A128" i="10"/>
  <c r="A131" i="10"/>
  <c r="A132" i="10"/>
  <c r="A133" i="10"/>
  <c r="A134" i="10"/>
  <c r="A135" i="10"/>
  <c r="A136" i="10"/>
  <c r="A137" i="10"/>
  <c r="A138" i="10"/>
  <c r="A127" i="10"/>
  <c r="A140" i="10"/>
  <c r="A139" i="10"/>
  <c r="A141" i="10"/>
  <c r="A142" i="10"/>
  <c r="A143" i="10"/>
  <c r="A105" i="10"/>
  <c r="A144" i="10"/>
  <c r="A145" i="10"/>
  <c r="A146" i="10"/>
  <c r="A147" i="10"/>
  <c r="A148" i="10"/>
  <c r="A149" i="10"/>
  <c r="A150" i="10"/>
  <c r="A151" i="10"/>
  <c r="A152" i="10"/>
  <c r="A153" i="10"/>
  <c r="A154" i="10"/>
  <c r="A155" i="10"/>
  <c r="A156" i="10"/>
  <c r="A157" i="10"/>
  <c r="A158" i="10"/>
  <c r="A159" i="10"/>
  <c r="A160" i="10"/>
  <c r="A163" i="10"/>
  <c r="A166" i="10"/>
  <c r="A167" i="10"/>
  <c r="A165" i="10"/>
  <c r="A168" i="10"/>
  <c r="A169" i="10"/>
  <c r="A170" i="10"/>
  <c r="A171" i="10"/>
  <c r="A172" i="10"/>
  <c r="A173" i="10"/>
  <c r="A174" i="10"/>
  <c r="A161" i="10"/>
  <c r="A162" i="10"/>
  <c r="A164" i="10"/>
  <c r="A175" i="10"/>
  <c r="A176" i="10"/>
  <c r="A177" i="10"/>
  <c r="A178" i="10"/>
  <c r="A180" i="10"/>
  <c r="A182" i="10"/>
  <c r="A179" i="10"/>
  <c r="A184" i="10"/>
  <c r="A183" i="10"/>
  <c r="A181" i="10"/>
  <c r="A185" i="10"/>
  <c r="A186" i="10"/>
  <c r="A187" i="10"/>
  <c r="A188" i="10"/>
  <c r="A189" i="10"/>
  <c r="A190" i="10"/>
  <c r="A191" i="10"/>
  <c r="A192" i="10"/>
  <c r="A194" i="10"/>
  <c r="A195" i="10"/>
  <c r="A196" i="10"/>
  <c r="A197" i="10"/>
  <c r="A193" i="10"/>
  <c r="A198" i="10"/>
  <c r="A206" i="10"/>
  <c r="A199" i="10"/>
  <c r="A201" i="10"/>
  <c r="A202" i="10"/>
  <c r="A200" i="10"/>
  <c r="A203" i="10"/>
  <c r="A204" i="10"/>
  <c r="A205" i="10"/>
  <c r="A207" i="10"/>
  <c r="A208" i="10"/>
  <c r="C67" i="16"/>
  <c r="C66" i="16"/>
  <c r="C65" i="16"/>
  <c r="C64" i="16"/>
  <c r="C63" i="16"/>
  <c r="C62" i="16"/>
  <c r="C61" i="16"/>
  <c r="C60" i="16"/>
  <c r="C58" i="16"/>
  <c r="C57" i="16"/>
  <c r="C56" i="16"/>
  <c r="C55" i="16"/>
  <c r="C54" i="16"/>
  <c r="C53" i="16"/>
  <c r="C52" i="16"/>
  <c r="C51" i="16"/>
  <c r="C50" i="16"/>
  <c r="C49" i="16"/>
  <c r="C47" i="16"/>
  <c r="C44" i="16"/>
  <c r="C45" i="16"/>
  <c r="C41" i="16"/>
  <c r="C43" i="16"/>
  <c r="C42" i="16"/>
  <c r="C40" i="16"/>
  <c r="C46" i="16"/>
  <c r="C48" i="16"/>
  <c r="C39" i="16"/>
  <c r="C38" i="16"/>
  <c r="C33" i="16"/>
  <c r="C29" i="16"/>
  <c r="C32" i="16"/>
  <c r="C23" i="16"/>
  <c r="C22" i="16"/>
  <c r="C21" i="16"/>
  <c r="C20" i="16"/>
  <c r="C19" i="16"/>
  <c r="C17" i="16"/>
  <c r="C16" i="16"/>
  <c r="C15" i="16"/>
  <c r="C30" i="16"/>
  <c r="C28" i="16"/>
  <c r="C27" i="16"/>
  <c r="C26" i="16"/>
  <c r="C25" i="16"/>
  <c r="C24" i="16"/>
  <c r="C14" i="16"/>
  <c r="C13" i="16"/>
  <c r="C12" i="16"/>
  <c r="C11" i="16"/>
  <c r="C10" i="16"/>
  <c r="C9" i="16"/>
  <c r="C8" i="16"/>
  <c r="C7" i="16"/>
  <c r="C6" i="16"/>
  <c r="C5" i="16"/>
  <c r="C4" i="16"/>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3" i="7"/>
  <c r="Y157" i="4"/>
  <c r="Y174" i="4"/>
  <c r="Y183" i="4"/>
  <c r="T5" i="4"/>
  <c r="X5" i="4" s="1"/>
  <c r="I5" i="5" s="1"/>
  <c r="I87" i="5"/>
  <c r="F5" i="5"/>
  <c r="H75" i="5"/>
  <c r="H76" i="5"/>
  <c r="H77" i="5"/>
  <c r="H78" i="5"/>
  <c r="H79" i="5"/>
  <c r="H81" i="5"/>
  <c r="H82" i="5"/>
  <c r="H83" i="5"/>
  <c r="H84" i="5"/>
  <c r="F75" i="5"/>
  <c r="F76" i="5"/>
  <c r="F77" i="5"/>
  <c r="F78" i="5"/>
  <c r="F79" i="5"/>
  <c r="F81" i="5"/>
  <c r="F82" i="5"/>
  <c r="F83" i="5"/>
  <c r="F84" i="5"/>
  <c r="F73" i="5"/>
  <c r="E4" i="5"/>
  <c r="F4" i="4"/>
  <c r="C126" i="10"/>
  <c r="C105" i="10"/>
  <c r="C181" i="10"/>
  <c r="C96" i="10"/>
  <c r="V96" i="10" l="1"/>
  <c r="AA96" i="10"/>
  <c r="J105" i="10"/>
  <c r="O96" i="10"/>
  <c r="Q41" i="13"/>
  <c r="Q42" i="13"/>
  <c r="Q43" i="13"/>
  <c r="Q44" i="13"/>
  <c r="Q45" i="13"/>
  <c r="Q46" i="13"/>
  <c r="Q47" i="13"/>
  <c r="Q48" i="13"/>
  <c r="Q49" i="13"/>
  <c r="Q50" i="13"/>
  <c r="Q40" i="13"/>
  <c r="Q34" i="13"/>
  <c r="Q30" i="13"/>
  <c r="Q33" i="13"/>
  <c r="Q24" i="13"/>
  <c r="Q23" i="13"/>
  <c r="Q22" i="13"/>
  <c r="Q31" i="13"/>
  <c r="Q16" i="13"/>
  <c r="Q17" i="13"/>
  <c r="Q18" i="13"/>
  <c r="Q19" i="13"/>
  <c r="Q20" i="13"/>
  <c r="Q21" i="13"/>
  <c r="Q29" i="13"/>
  <c r="Q28" i="13"/>
  <c r="Q27" i="13"/>
  <c r="Q26" i="13"/>
  <c r="Q25" i="13"/>
  <c r="Q10" i="13"/>
  <c r="Q11" i="13"/>
  <c r="Q12" i="13"/>
  <c r="Q13" i="13"/>
  <c r="Q14" i="13"/>
  <c r="Q15" i="13"/>
  <c r="Q9" i="13"/>
  <c r="Q8" i="13"/>
  <c r="Q7" i="13"/>
  <c r="Q6" i="13"/>
  <c r="Q5" i="13"/>
  <c r="Q3" i="3"/>
  <c r="R3" i="3"/>
  <c r="R5" i="3"/>
  <c r="I81" i="5"/>
  <c r="J81" i="5" s="1"/>
  <c r="I82" i="5"/>
  <c r="J82" i="5" s="1"/>
  <c r="I83" i="5"/>
  <c r="J83" i="5" s="1"/>
  <c r="I84" i="5"/>
  <c r="K84" i="5" s="1"/>
  <c r="I74" i="5"/>
  <c r="J74" i="5" s="1"/>
  <c r="I75" i="5"/>
  <c r="J75" i="5" s="1"/>
  <c r="I76" i="5"/>
  <c r="K76" i="5" s="1"/>
  <c r="I77" i="5"/>
  <c r="J77" i="5" s="1"/>
  <c r="I78" i="5"/>
  <c r="J78" i="5" s="1"/>
  <c r="I79" i="5"/>
  <c r="J79" i="5" s="1"/>
  <c r="I80" i="5"/>
  <c r="L80" i="5" s="1"/>
  <c r="E70" i="5"/>
  <c r="I59" i="5"/>
  <c r="I28" i="5"/>
  <c r="J28" i="5" s="1"/>
  <c r="E28" i="5"/>
  <c r="AB96" i="10" l="1"/>
  <c r="AC96" i="10" s="1" a="1"/>
  <c r="AC96" i="10" s="1"/>
  <c r="K81" i="5"/>
  <c r="J84" i="5"/>
  <c r="L83" i="5"/>
  <c r="K83" i="5"/>
  <c r="L84" i="5"/>
  <c r="L82" i="5"/>
  <c r="K82" i="5"/>
  <c r="L81" i="5"/>
  <c r="J80" i="5"/>
  <c r="L79" i="5"/>
  <c r="K80" i="5"/>
  <c r="L77" i="5"/>
  <c r="K77" i="5"/>
  <c r="J76" i="5"/>
  <c r="L75" i="5"/>
  <c r="K75" i="5"/>
  <c r="L76" i="5"/>
  <c r="K79" i="5"/>
  <c r="L78" i="5"/>
  <c r="L74" i="5"/>
  <c r="K78" i="5"/>
  <c r="K74" i="5"/>
  <c r="L28" i="5"/>
  <c r="L3" i="3" l="1"/>
  <c r="P3" i="3"/>
  <c r="N33" i="14" l="1"/>
  <c r="N29" i="14"/>
  <c r="N32" i="14"/>
  <c r="N23" i="14"/>
  <c r="N22" i="14"/>
  <c r="N21" i="14"/>
  <c r="N20" i="14"/>
  <c r="N19" i="14"/>
  <c r="N18" i="14"/>
  <c r="N17" i="14"/>
  <c r="N16" i="14"/>
  <c r="N15" i="14"/>
  <c r="N30" i="14"/>
  <c r="N28" i="14"/>
  <c r="N27" i="14"/>
  <c r="N26" i="14"/>
  <c r="N25" i="14"/>
  <c r="N24" i="14"/>
  <c r="N14" i="14"/>
  <c r="N13" i="14"/>
  <c r="N12" i="14"/>
  <c r="N11" i="14"/>
  <c r="N10" i="14"/>
  <c r="N9" i="14"/>
  <c r="N8" i="14"/>
  <c r="N7" i="14"/>
  <c r="N6" i="14"/>
  <c r="N5" i="14"/>
  <c r="N4" i="14"/>
  <c r="C77" i="10" l="1"/>
  <c r="C17" i="10"/>
  <c r="T6" i="13"/>
  <c r="T7" i="13"/>
  <c r="T25" i="13"/>
  <c r="T26" i="13"/>
  <c r="T27" i="13"/>
  <c r="T8" i="13"/>
  <c r="T28" i="13"/>
  <c r="T29" i="13"/>
  <c r="T31" i="13"/>
  <c r="T16" i="13"/>
  <c r="T17" i="13"/>
  <c r="T18" i="13"/>
  <c r="T19" i="13"/>
  <c r="T20" i="13"/>
  <c r="T21" i="13"/>
  <c r="T15" i="13"/>
  <c r="T9" i="13"/>
  <c r="T10" i="13"/>
  <c r="T11" i="13"/>
  <c r="T12" i="13"/>
  <c r="T22" i="13"/>
  <c r="T13" i="13"/>
  <c r="T14" i="13"/>
  <c r="T23" i="13"/>
  <c r="T24" i="13"/>
  <c r="T33" i="13"/>
  <c r="T30" i="13"/>
  <c r="T34" i="13"/>
  <c r="T5" i="13"/>
  <c r="C143" i="10"/>
  <c r="J5" i="5" l="1"/>
  <c r="C127" i="10" l="1"/>
  <c r="C71" i="10"/>
  <c r="C205" i="10"/>
  <c r="C54" i="10"/>
  <c r="D12" i="16" s="1"/>
  <c r="C117" i="10"/>
  <c r="D25" i="16" s="1"/>
  <c r="C103" i="10"/>
  <c r="C175" i="10"/>
  <c r="C52" i="10"/>
  <c r="D26" i="16" s="1"/>
  <c r="C81" i="10"/>
  <c r="C66" i="10"/>
  <c r="D27" i="16" s="1"/>
  <c r="C68" i="10"/>
  <c r="C26" i="10"/>
  <c r="C124" i="10"/>
  <c r="D24" i="16" s="1"/>
  <c r="C19" i="10"/>
  <c r="C67" i="10"/>
  <c r="D28" i="16" s="1"/>
  <c r="C93" i="10"/>
  <c r="C72" i="10"/>
  <c r="C87" i="10"/>
  <c r="C23" i="10"/>
  <c r="C24" i="10"/>
  <c r="C128" i="10"/>
  <c r="C25" i="10"/>
  <c r="D64" i="16" s="1"/>
  <c r="C176" i="10"/>
  <c r="C22" i="10"/>
  <c r="D58" i="16" s="1"/>
  <c r="C164" i="10"/>
  <c r="C15" i="10"/>
  <c r="C198" i="10"/>
  <c r="C82" i="10"/>
  <c r="C28" i="10"/>
  <c r="C83" i="10"/>
  <c r="C121" i="10"/>
  <c r="C27" i="10"/>
  <c r="C30" i="10"/>
  <c r="C31" i="10"/>
  <c r="D66" i="16" s="1"/>
  <c r="C61" i="10"/>
  <c r="D33" i="16" s="1"/>
  <c r="C161" i="10"/>
  <c r="C179" i="10"/>
  <c r="C86" i="10"/>
  <c r="C6" i="10"/>
  <c r="C84" i="10"/>
  <c r="C33" i="10"/>
  <c r="C34" i="10"/>
  <c r="C14" i="10"/>
  <c r="C162" i="10"/>
  <c r="C97" i="10"/>
  <c r="C36" i="10"/>
  <c r="D60" i="16" s="1"/>
  <c r="C62" i="10"/>
  <c r="D15" i="16" s="1"/>
  <c r="C153" i="10"/>
  <c r="C188" i="10"/>
  <c r="C29" i="10"/>
  <c r="D54" i="16" s="1"/>
  <c r="C201" i="10"/>
  <c r="C32" i="10"/>
  <c r="C8" i="10"/>
  <c r="C150" i="10"/>
  <c r="C203" i="10"/>
  <c r="C148" i="10"/>
  <c r="D17" i="16" s="1"/>
  <c r="C204" i="10"/>
  <c r="C196" i="10"/>
  <c r="C172" i="10"/>
  <c r="C189" i="10"/>
  <c r="C160" i="10"/>
  <c r="C120" i="10"/>
  <c r="C182" i="10"/>
  <c r="C7" i="10"/>
  <c r="D46" i="16" s="1"/>
  <c r="C156" i="10"/>
  <c r="C94" i="10"/>
  <c r="C167" i="10"/>
  <c r="C92" i="10"/>
  <c r="C146" i="10"/>
  <c r="C49" i="10"/>
  <c r="D67" i="16" s="1"/>
  <c r="C165" i="10"/>
  <c r="C73" i="10"/>
  <c r="C38" i="10"/>
  <c r="D56" i="16" s="1"/>
  <c r="C59" i="10"/>
  <c r="C133" i="10"/>
  <c r="C109" i="10"/>
  <c r="D19" i="16" s="1"/>
  <c r="C18" i="10"/>
  <c r="D50" i="16" s="1"/>
  <c r="C147" i="10"/>
  <c r="C37" i="10"/>
  <c r="C173" i="10"/>
  <c r="C99" i="10"/>
  <c r="C152" i="10"/>
  <c r="C39" i="10"/>
  <c r="C46" i="10"/>
  <c r="C47" i="10"/>
  <c r="D55" i="16" s="1"/>
  <c r="C48" i="10"/>
  <c r="C9" i="10"/>
  <c r="D41" i="16" s="1"/>
  <c r="C149" i="10"/>
  <c r="C193" i="10"/>
  <c r="C208" i="10"/>
  <c r="C197" i="10"/>
  <c r="C88" i="10"/>
  <c r="C91" i="10"/>
  <c r="C80" i="10"/>
  <c r="C206" i="10"/>
  <c r="C200" i="10"/>
  <c r="C178" i="10"/>
  <c r="C130" i="10"/>
  <c r="C132" i="10"/>
  <c r="C185" i="10"/>
  <c r="D22" i="16" s="1"/>
  <c r="C207" i="10"/>
  <c r="C111" i="10"/>
  <c r="C110" i="10"/>
  <c r="D18" i="16" s="1"/>
  <c r="C187" i="10"/>
  <c r="C75" i="10"/>
  <c r="C78" i="10"/>
  <c r="C21" i="10"/>
  <c r="D52" i="16" s="1"/>
  <c r="C43" i="10"/>
  <c r="C10" i="10"/>
  <c r="C134" i="10"/>
  <c r="C123" i="10"/>
  <c r="C95" i="10"/>
  <c r="C42" i="10"/>
  <c r="D61" i="16" s="1"/>
  <c r="C158" i="10"/>
  <c r="C169" i="10"/>
  <c r="C69" i="10"/>
  <c r="C125" i="10"/>
  <c r="C171" i="10"/>
  <c r="C151" i="10"/>
  <c r="C108" i="10"/>
  <c r="C191" i="10"/>
  <c r="C174" i="10"/>
  <c r="C101" i="10"/>
  <c r="C136" i="10"/>
  <c r="C142" i="10"/>
  <c r="C40" i="10"/>
  <c r="C89" i="10"/>
  <c r="C135" i="10"/>
  <c r="C11" i="10"/>
  <c r="C100" i="10"/>
  <c r="C20" i="10"/>
  <c r="D51" i="16" s="1"/>
  <c r="C90" i="10"/>
  <c r="C184" i="10"/>
  <c r="C70" i="10"/>
  <c r="D6" i="16" s="1"/>
  <c r="C63" i="10"/>
  <c r="D11" i="16" s="1"/>
  <c r="C41" i="10"/>
  <c r="D59" i="16" s="1"/>
  <c r="C192" i="10"/>
  <c r="C55" i="10"/>
  <c r="D9" i="16" s="1"/>
  <c r="C116" i="10"/>
  <c r="C190" i="10"/>
  <c r="C202" i="10"/>
  <c r="C129" i="10"/>
  <c r="C98" i="10"/>
  <c r="D7" i="16" s="1"/>
  <c r="C139" i="10"/>
  <c r="C183" i="10"/>
  <c r="C155" i="10"/>
  <c r="C50" i="10"/>
  <c r="C137" i="10"/>
  <c r="C102" i="10"/>
  <c r="C16" i="10"/>
  <c r="C199" i="10"/>
  <c r="C5" i="10"/>
  <c r="C85" i="10"/>
  <c r="C157" i="10"/>
  <c r="C177" i="10"/>
  <c r="C194" i="10"/>
  <c r="C56" i="10"/>
  <c r="C12" i="10"/>
  <c r="D45" i="16" s="1"/>
  <c r="C114" i="10"/>
  <c r="C180" i="10"/>
  <c r="C53" i="10"/>
  <c r="C107" i="10"/>
  <c r="C159" i="10"/>
  <c r="C138" i="10"/>
  <c r="C186" i="10"/>
  <c r="D23" i="16" s="1"/>
  <c r="C118" i="10"/>
  <c r="C144" i="10"/>
  <c r="C35" i="10"/>
  <c r="C13" i="10"/>
  <c r="D44" i="16" s="1"/>
  <c r="C115" i="10"/>
  <c r="C112" i="10"/>
  <c r="C64" i="10"/>
  <c r="C168" i="10"/>
  <c r="C60" i="10"/>
  <c r="D29" i="16" s="1"/>
  <c r="C44" i="10"/>
  <c r="C51" i="10"/>
  <c r="C74" i="10"/>
  <c r="C166" i="10"/>
  <c r="C57" i="10"/>
  <c r="C106" i="10"/>
  <c r="C104" i="10"/>
  <c r="C58" i="10"/>
  <c r="D4" i="16" s="1"/>
  <c r="C154" i="10"/>
  <c r="C122" i="10"/>
  <c r="C131" i="10"/>
  <c r="C195" i="10"/>
  <c r="C76" i="10"/>
  <c r="C79" i="10"/>
  <c r="C113" i="10"/>
  <c r="C119" i="10"/>
  <c r="C45" i="10"/>
  <c r="D65" i="16" s="1"/>
  <c r="C163" i="10"/>
  <c r="C140" i="10"/>
  <c r="C141" i="10"/>
  <c r="C145" i="10"/>
  <c r="C65" i="10"/>
  <c r="C170" i="10"/>
  <c r="D62" i="16" l="1"/>
  <c r="D13" i="16"/>
  <c r="C16" i="13"/>
  <c r="C15" i="14"/>
  <c r="C44" i="13"/>
  <c r="C18" i="13"/>
  <c r="C46" i="13"/>
  <c r="C17" i="14"/>
  <c r="D8" i="16"/>
  <c r="D47" i="16"/>
  <c r="C7" i="14"/>
  <c r="C8" i="13"/>
  <c r="C28" i="13"/>
  <c r="C27" i="14"/>
  <c r="D43" i="16"/>
  <c r="D21" i="16"/>
  <c r="C26" i="14"/>
  <c r="C27" i="13"/>
  <c r="D32" i="16"/>
  <c r="D49" i="16"/>
  <c r="D40" i="16"/>
  <c r="D16" i="16"/>
  <c r="C26" i="13"/>
  <c r="C25" i="14"/>
  <c r="C33" i="14"/>
  <c r="C34" i="13"/>
  <c r="D14" i="16"/>
  <c r="D63" i="16"/>
  <c r="C47" i="13"/>
  <c r="C19" i="13"/>
  <c r="C18" i="14"/>
  <c r="D57" i="16"/>
  <c r="D31" i="16"/>
  <c r="C30" i="13"/>
  <c r="C29" i="14"/>
  <c r="C9" i="14"/>
  <c r="C10" i="13"/>
  <c r="C23" i="13"/>
  <c r="C22" i="14"/>
  <c r="C50" i="13"/>
  <c r="C19" i="14"/>
  <c r="C20" i="13"/>
  <c r="C13" i="13"/>
  <c r="C12" i="14"/>
  <c r="C11" i="14"/>
  <c r="C12" i="13"/>
  <c r="D39" i="16"/>
  <c r="D30" i="16"/>
  <c r="C29" i="13"/>
  <c r="C28" i="14"/>
  <c r="C24" i="13"/>
  <c r="C23" i="14"/>
  <c r="D40" i="13"/>
  <c r="C4" i="14"/>
  <c r="C40" i="13"/>
  <c r="C5" i="13"/>
  <c r="C7" i="13"/>
  <c r="C42" i="13"/>
  <c r="C6" i="14"/>
  <c r="D5" i="16"/>
  <c r="D48" i="16"/>
  <c r="D53" i="16"/>
  <c r="D10" i="16"/>
  <c r="D42" i="16"/>
  <c r="D20" i="16"/>
  <c r="C25" i="13"/>
  <c r="C24" i="14"/>
  <c r="P5" i="4"/>
  <c r="E6" i="5"/>
  <c r="E7" i="5"/>
  <c r="E8" i="5"/>
  <c r="E9" i="5"/>
  <c r="E10" i="5"/>
  <c r="E11" i="5"/>
  <c r="E12" i="5"/>
  <c r="E14" i="5"/>
  <c r="E15" i="5"/>
  <c r="E16" i="5"/>
  <c r="E17" i="5"/>
  <c r="E18" i="5"/>
  <c r="E19" i="5"/>
  <c r="E20" i="5"/>
  <c r="E22" i="5"/>
  <c r="E23" i="5"/>
  <c r="E24" i="5"/>
  <c r="E25" i="5"/>
  <c r="E26" i="5"/>
  <c r="E27" i="5"/>
  <c r="E46" i="5"/>
  <c r="E47" i="5"/>
  <c r="E48" i="5"/>
  <c r="E49" i="5"/>
  <c r="E50" i="5"/>
  <c r="E51" i="5"/>
  <c r="E52" i="5"/>
  <c r="E67" i="5"/>
  <c r="E68" i="5"/>
  <c r="E69" i="5"/>
  <c r="E29" i="5"/>
  <c r="E30" i="5"/>
  <c r="E31" i="5"/>
  <c r="E32" i="5"/>
  <c r="E33" i="5"/>
  <c r="E35" i="5"/>
  <c r="E36" i="5"/>
  <c r="E37" i="5"/>
  <c r="E38" i="5"/>
  <c r="E39" i="5"/>
  <c r="E41" i="5"/>
  <c r="E42" i="5"/>
  <c r="E43" i="5"/>
  <c r="E44" i="5"/>
  <c r="E86" i="5"/>
  <c r="E87" i="5"/>
  <c r="E88" i="5"/>
  <c r="E89" i="5"/>
  <c r="E90" i="5"/>
  <c r="E54" i="5"/>
  <c r="E55" i="5"/>
  <c r="E56" i="5"/>
  <c r="E57" i="5"/>
  <c r="E59" i="5"/>
  <c r="E60" i="5"/>
  <c r="E61" i="5"/>
  <c r="E62" i="5"/>
  <c r="E63" i="5"/>
  <c r="E64" i="5"/>
  <c r="E65" i="5"/>
  <c r="E71" i="5"/>
  <c r="E72" i="5"/>
  <c r="E73" i="5"/>
  <c r="E5" i="5"/>
  <c r="F35" i="4"/>
  <c r="F36" i="4"/>
  <c r="F37" i="4"/>
  <c r="F38" i="4"/>
  <c r="F39" i="4"/>
  <c r="F40" i="4"/>
  <c r="F42" i="4"/>
  <c r="F43" i="4"/>
  <c r="F44" i="4"/>
  <c r="F45" i="4"/>
  <c r="F46" i="4"/>
  <c r="F48" i="4"/>
  <c r="F49" i="4"/>
  <c r="F50" i="4"/>
  <c r="F51" i="4"/>
  <c r="F52" i="4"/>
  <c r="F54" i="4"/>
  <c r="F55" i="4"/>
  <c r="F56" i="4"/>
  <c r="F57" i="4"/>
  <c r="F58" i="4"/>
  <c r="F60" i="4"/>
  <c r="F61" i="4"/>
  <c r="F62" i="4"/>
  <c r="F63" i="4"/>
  <c r="F64" i="4"/>
  <c r="F66" i="4"/>
  <c r="F67" i="4"/>
  <c r="F68" i="4"/>
  <c r="F70" i="4"/>
  <c r="F71" i="4"/>
  <c r="F72" i="4"/>
  <c r="F73" i="4"/>
  <c r="F74" i="4"/>
  <c r="F76" i="4"/>
  <c r="F77" i="4"/>
  <c r="F78" i="4"/>
  <c r="F79" i="4"/>
  <c r="F81" i="4"/>
  <c r="F82" i="4"/>
  <c r="F83" i="4"/>
  <c r="F84" i="4"/>
  <c r="F85" i="4"/>
  <c r="F87" i="4"/>
  <c r="F88" i="4"/>
  <c r="F89" i="4"/>
  <c r="F90" i="4"/>
  <c r="F91" i="4"/>
  <c r="F93" i="4"/>
  <c r="F94" i="4"/>
  <c r="F95" i="4"/>
  <c r="F96" i="4"/>
  <c r="F97" i="4"/>
  <c r="F99" i="4"/>
  <c r="F100" i="4"/>
  <c r="F101" i="4"/>
  <c r="F103" i="4"/>
  <c r="F104" i="4"/>
  <c r="F106" i="4"/>
  <c r="F107" i="4"/>
  <c r="F108" i="4"/>
  <c r="F109" i="4"/>
  <c r="F110" i="4"/>
  <c r="F112" i="4"/>
  <c r="F113" i="4"/>
  <c r="F114" i="4"/>
  <c r="F115" i="4"/>
  <c r="F116" i="4"/>
  <c r="F118" i="4"/>
  <c r="F119" i="4"/>
  <c r="F120" i="4"/>
  <c r="F121" i="4"/>
  <c r="F123" i="4"/>
  <c r="F124" i="4"/>
  <c r="F125" i="4"/>
  <c r="F126" i="4"/>
  <c r="F128" i="4"/>
  <c r="F130" i="4"/>
  <c r="F131" i="4"/>
  <c r="F132" i="4"/>
  <c r="F133" i="4"/>
  <c r="F135" i="4"/>
  <c r="F136" i="4"/>
  <c r="F138" i="4"/>
  <c r="F139" i="4"/>
  <c r="F140" i="4"/>
  <c r="F141" i="4"/>
  <c r="F143" i="4"/>
  <c r="F144" i="4"/>
  <c r="F145" i="4"/>
  <c r="F147" i="4"/>
  <c r="F148" i="4"/>
  <c r="F149" i="4"/>
  <c r="F150" i="4"/>
  <c r="F152" i="4"/>
  <c r="F153" i="4"/>
  <c r="F154" i="4"/>
  <c r="F155" i="4"/>
  <c r="F156" i="4"/>
  <c r="F157" i="4"/>
  <c r="F158" i="4"/>
  <c r="F160" i="4"/>
  <c r="F161" i="4"/>
  <c r="F162" i="4"/>
  <c r="F164" i="4"/>
  <c r="F165" i="4"/>
  <c r="F167" i="4"/>
  <c r="F168" i="4"/>
  <c r="F170" i="4"/>
  <c r="F171" i="4"/>
  <c r="F173" i="4"/>
  <c r="F174" i="4"/>
  <c r="F176" i="4"/>
  <c r="F177" i="4"/>
  <c r="F178" i="4"/>
  <c r="F179" i="4"/>
  <c r="F180" i="4"/>
  <c r="F181" i="4"/>
  <c r="F34" i="4"/>
  <c r="F31" i="4"/>
  <c r="F32" i="4"/>
  <c r="F30" i="4"/>
  <c r="F23" i="4"/>
  <c r="F24" i="4"/>
  <c r="F25" i="4"/>
  <c r="F26" i="4"/>
  <c r="F27" i="4"/>
  <c r="F28" i="4"/>
  <c r="F22" i="4"/>
  <c r="F15" i="4"/>
  <c r="F16" i="4"/>
  <c r="F17" i="4"/>
  <c r="F18" i="4"/>
  <c r="F19" i="4"/>
  <c r="F20" i="4"/>
  <c r="F14" i="4"/>
  <c r="F6" i="4"/>
  <c r="F7" i="4"/>
  <c r="F8" i="4"/>
  <c r="F9" i="4"/>
  <c r="F10" i="4"/>
  <c r="F11" i="4"/>
  <c r="F12" i="4"/>
  <c r="F5" i="4"/>
  <c r="H3" i="3"/>
  <c r="C32" i="14" l="1"/>
  <c r="C33" i="13"/>
  <c r="C6" i="13"/>
  <c r="C41" i="13"/>
  <c r="C5" i="14"/>
  <c r="C17" i="13"/>
  <c r="C45" i="13"/>
  <c r="C16" i="14"/>
  <c r="C32" i="13"/>
  <c r="C31" i="14"/>
  <c r="C20" i="14"/>
  <c r="C48" i="13"/>
  <c r="C21" i="13"/>
  <c r="C21" i="14"/>
  <c r="C49" i="13"/>
  <c r="C22" i="13"/>
  <c r="C10" i="14"/>
  <c r="C11" i="13"/>
  <c r="C43" i="13"/>
  <c r="C15" i="13"/>
  <c r="C51" i="13"/>
  <c r="C14" i="14"/>
  <c r="C31" i="13"/>
  <c r="C30" i="14"/>
  <c r="C8" i="14"/>
  <c r="C9" i="13"/>
  <c r="C14" i="13"/>
  <c r="C13" i="14"/>
  <c r="W181" i="4"/>
  <c r="V181" i="4"/>
  <c r="U181" i="4"/>
  <c r="T181" i="4"/>
  <c r="R181" i="4"/>
  <c r="H27" i="5" s="1"/>
  <c r="P181" i="4"/>
  <c r="W180" i="4"/>
  <c r="V180" i="4"/>
  <c r="U180" i="4"/>
  <c r="T180" i="4"/>
  <c r="R180" i="4"/>
  <c r="H26" i="5" s="1"/>
  <c r="P180" i="4"/>
  <c r="W179" i="4"/>
  <c r="V179" i="4"/>
  <c r="U179" i="4"/>
  <c r="T179" i="4"/>
  <c r="R179" i="4"/>
  <c r="H25" i="5" s="1"/>
  <c r="P179" i="4"/>
  <c r="W178" i="4"/>
  <c r="V178" i="4"/>
  <c r="U178" i="4"/>
  <c r="T178" i="4"/>
  <c r="R178" i="4"/>
  <c r="H24" i="5" s="1"/>
  <c r="P178" i="4"/>
  <c r="W177" i="4"/>
  <c r="V177" i="4"/>
  <c r="U177" i="4"/>
  <c r="T177" i="4"/>
  <c r="R177" i="4"/>
  <c r="H23" i="5" s="1"/>
  <c r="P177" i="4"/>
  <c r="W176" i="4"/>
  <c r="V176" i="4"/>
  <c r="U176" i="4"/>
  <c r="T176" i="4"/>
  <c r="R176" i="4"/>
  <c r="H22" i="5" s="1"/>
  <c r="P176" i="4"/>
  <c r="W175" i="4"/>
  <c r="V175" i="4"/>
  <c r="U175" i="4"/>
  <c r="T175" i="4"/>
  <c r="W174" i="4"/>
  <c r="V174" i="4"/>
  <c r="U174" i="4"/>
  <c r="T174" i="4"/>
  <c r="R174" i="4"/>
  <c r="P174" i="4"/>
  <c r="S174" i="4" s="1"/>
  <c r="W173" i="4"/>
  <c r="V173" i="4"/>
  <c r="U173" i="4"/>
  <c r="T173" i="4"/>
  <c r="R173" i="4"/>
  <c r="P173" i="4"/>
  <c r="S173" i="4" s="1"/>
  <c r="W172" i="4"/>
  <c r="V172" i="4"/>
  <c r="U172" i="4"/>
  <c r="T172" i="4"/>
  <c r="W171" i="4"/>
  <c r="V171" i="4"/>
  <c r="U171" i="4"/>
  <c r="T171" i="4"/>
  <c r="R171" i="4"/>
  <c r="P171" i="4"/>
  <c r="S171" i="4" s="1"/>
  <c r="W170" i="4"/>
  <c r="V170" i="4"/>
  <c r="U170" i="4"/>
  <c r="T170" i="4"/>
  <c r="R170" i="4"/>
  <c r="P170" i="4"/>
  <c r="S170" i="4" s="1"/>
  <c r="W169" i="4"/>
  <c r="V169" i="4"/>
  <c r="U169" i="4"/>
  <c r="T169" i="4"/>
  <c r="W168" i="4"/>
  <c r="V168" i="4"/>
  <c r="U168" i="4"/>
  <c r="T168" i="4"/>
  <c r="R168" i="4"/>
  <c r="P168" i="4"/>
  <c r="S168" i="4" s="1"/>
  <c r="W167" i="4"/>
  <c r="V167" i="4"/>
  <c r="U167" i="4"/>
  <c r="T167" i="4"/>
  <c r="R167" i="4"/>
  <c r="P167" i="4"/>
  <c r="S167" i="4" s="1"/>
  <c r="W166" i="4"/>
  <c r="V166" i="4"/>
  <c r="U166" i="4"/>
  <c r="T166" i="4"/>
  <c r="W165" i="4"/>
  <c r="V165" i="4"/>
  <c r="U165" i="4"/>
  <c r="T165" i="4"/>
  <c r="R165" i="4"/>
  <c r="P165" i="4"/>
  <c r="W164" i="4"/>
  <c r="V164" i="4"/>
  <c r="U164" i="4"/>
  <c r="T164" i="4"/>
  <c r="R164" i="4"/>
  <c r="P164" i="4"/>
  <c r="W163" i="4"/>
  <c r="V163" i="4"/>
  <c r="U163" i="4"/>
  <c r="T163" i="4"/>
  <c r="W162" i="4"/>
  <c r="V162" i="4"/>
  <c r="U162" i="4"/>
  <c r="T162" i="4"/>
  <c r="R162" i="4"/>
  <c r="P162" i="4"/>
  <c r="W161" i="4"/>
  <c r="V161" i="4"/>
  <c r="U161" i="4"/>
  <c r="T161" i="4"/>
  <c r="R161" i="4"/>
  <c r="P161" i="4"/>
  <c r="W160" i="4"/>
  <c r="V160" i="4"/>
  <c r="U160" i="4"/>
  <c r="T160" i="4"/>
  <c r="R160" i="4"/>
  <c r="P160" i="4"/>
  <c r="W159" i="4"/>
  <c r="V159" i="4"/>
  <c r="U159" i="4"/>
  <c r="T159" i="4"/>
  <c r="W158" i="4"/>
  <c r="V158" i="4"/>
  <c r="U158" i="4"/>
  <c r="T158" i="4"/>
  <c r="R158" i="4"/>
  <c r="H20" i="5" s="1"/>
  <c r="P158" i="4"/>
  <c r="W157" i="4"/>
  <c r="V157" i="4"/>
  <c r="U157" i="4"/>
  <c r="T157" i="4"/>
  <c r="R157" i="4"/>
  <c r="H19" i="5" s="1"/>
  <c r="P157" i="4"/>
  <c r="W156" i="4"/>
  <c r="V156" i="4"/>
  <c r="U156" i="4"/>
  <c r="T156" i="4"/>
  <c r="R156" i="4"/>
  <c r="H18" i="5" s="1"/>
  <c r="P156" i="4"/>
  <c r="W155" i="4"/>
  <c r="V155" i="4"/>
  <c r="U155" i="4"/>
  <c r="T155" i="4"/>
  <c r="R155" i="4"/>
  <c r="H17" i="5" s="1"/>
  <c r="P155" i="4"/>
  <c r="W154" i="4"/>
  <c r="V154" i="4"/>
  <c r="U154" i="4"/>
  <c r="T154" i="4"/>
  <c r="R154" i="4"/>
  <c r="H16" i="5" s="1"/>
  <c r="P154" i="4"/>
  <c r="W153" i="4"/>
  <c r="V153" i="4"/>
  <c r="U153" i="4"/>
  <c r="T153" i="4"/>
  <c r="R153" i="4"/>
  <c r="H15" i="5" s="1"/>
  <c r="P153" i="4"/>
  <c r="W152" i="4"/>
  <c r="V152" i="4"/>
  <c r="U152" i="4"/>
  <c r="T152" i="4"/>
  <c r="R152" i="4"/>
  <c r="H14" i="5" s="1"/>
  <c r="P152" i="4"/>
  <c r="W151" i="4"/>
  <c r="V151" i="4"/>
  <c r="U151" i="4"/>
  <c r="T151" i="4"/>
  <c r="W150" i="4"/>
  <c r="V150" i="4"/>
  <c r="U150" i="4"/>
  <c r="T150" i="4"/>
  <c r="R150" i="4"/>
  <c r="P150" i="4"/>
  <c r="W149" i="4"/>
  <c r="V149" i="4"/>
  <c r="U149" i="4"/>
  <c r="T149" i="4"/>
  <c r="R149" i="4"/>
  <c r="P149" i="4"/>
  <c r="W148" i="4"/>
  <c r="V148" i="4"/>
  <c r="U148" i="4"/>
  <c r="T148" i="4"/>
  <c r="R148" i="4"/>
  <c r="P148" i="4"/>
  <c r="W147" i="4"/>
  <c r="V147" i="4"/>
  <c r="U147" i="4"/>
  <c r="T147" i="4"/>
  <c r="R147" i="4"/>
  <c r="P147" i="4"/>
  <c r="W146" i="4"/>
  <c r="V146" i="4"/>
  <c r="U146" i="4"/>
  <c r="T146" i="4"/>
  <c r="W145" i="4"/>
  <c r="V145" i="4"/>
  <c r="U145" i="4"/>
  <c r="T145" i="4"/>
  <c r="R145" i="4"/>
  <c r="P145" i="4"/>
  <c r="W144" i="4"/>
  <c r="V144" i="4"/>
  <c r="U144" i="4"/>
  <c r="T144" i="4"/>
  <c r="R144" i="4"/>
  <c r="P144" i="4"/>
  <c r="S144" i="4" s="1"/>
  <c r="W143" i="4"/>
  <c r="V143" i="4"/>
  <c r="U143" i="4"/>
  <c r="T143" i="4"/>
  <c r="R143" i="4"/>
  <c r="P143" i="4"/>
  <c r="S143" i="4" s="1"/>
  <c r="W142" i="4"/>
  <c r="V142" i="4"/>
  <c r="U142" i="4"/>
  <c r="T142" i="4"/>
  <c r="W141" i="4"/>
  <c r="V141" i="4"/>
  <c r="U141" i="4"/>
  <c r="T141" i="4"/>
  <c r="R141" i="4"/>
  <c r="H57" i="5" s="1"/>
  <c r="P141" i="4"/>
  <c r="W140" i="4"/>
  <c r="V140" i="4"/>
  <c r="U140" i="4"/>
  <c r="T140" i="4"/>
  <c r="R140" i="4"/>
  <c r="H56" i="5" s="1"/>
  <c r="P140" i="4"/>
  <c r="W139" i="4"/>
  <c r="V139" i="4"/>
  <c r="U139" i="4"/>
  <c r="T139" i="4"/>
  <c r="R139" i="4"/>
  <c r="H55" i="5" s="1"/>
  <c r="P139" i="4"/>
  <c r="W138" i="4"/>
  <c r="V138" i="4"/>
  <c r="U138" i="4"/>
  <c r="T138" i="4"/>
  <c r="R138" i="4"/>
  <c r="H54" i="5" s="1"/>
  <c r="P138" i="4"/>
  <c r="W137" i="4"/>
  <c r="V137" i="4"/>
  <c r="U137" i="4"/>
  <c r="T137" i="4"/>
  <c r="W136" i="4"/>
  <c r="V136" i="4"/>
  <c r="U136" i="4"/>
  <c r="T136" i="4"/>
  <c r="R136" i="4"/>
  <c r="P136" i="4"/>
  <c r="W135" i="4"/>
  <c r="V135" i="4"/>
  <c r="U135" i="4"/>
  <c r="T135" i="4"/>
  <c r="R135" i="4"/>
  <c r="P135" i="4"/>
  <c r="S135" i="4" s="1"/>
  <c r="W134" i="4"/>
  <c r="V134" i="4"/>
  <c r="U134" i="4"/>
  <c r="T134" i="4"/>
  <c r="W133" i="4"/>
  <c r="V133" i="4"/>
  <c r="U133" i="4"/>
  <c r="T133" i="4"/>
  <c r="R133" i="4"/>
  <c r="H44" i="5" s="1"/>
  <c r="P133" i="4"/>
  <c r="W132" i="4"/>
  <c r="V132" i="4"/>
  <c r="U132" i="4"/>
  <c r="T132" i="4"/>
  <c r="R132" i="4"/>
  <c r="H43" i="5" s="1"/>
  <c r="P132" i="4"/>
  <c r="W131" i="4"/>
  <c r="V131" i="4"/>
  <c r="U131" i="4"/>
  <c r="T131" i="4"/>
  <c r="R131" i="4"/>
  <c r="H42" i="5" s="1"/>
  <c r="P131" i="4"/>
  <c r="W130" i="4"/>
  <c r="V130" i="4"/>
  <c r="U130" i="4"/>
  <c r="T130" i="4"/>
  <c r="R130" i="4"/>
  <c r="H41" i="5" s="1"/>
  <c r="P130" i="4"/>
  <c r="W129" i="4"/>
  <c r="V129" i="4"/>
  <c r="U129" i="4"/>
  <c r="T129" i="4"/>
  <c r="W128" i="4"/>
  <c r="V128" i="4"/>
  <c r="U128" i="4"/>
  <c r="T128" i="4"/>
  <c r="R128" i="4"/>
  <c r="P128" i="4"/>
  <c r="S128" i="4" s="1"/>
  <c r="W127" i="4"/>
  <c r="V127" i="4"/>
  <c r="U127" i="4"/>
  <c r="T127" i="4"/>
  <c r="W126" i="4"/>
  <c r="V126" i="4"/>
  <c r="U126" i="4"/>
  <c r="T126" i="4"/>
  <c r="R126" i="4"/>
  <c r="P126" i="4"/>
  <c r="W125" i="4"/>
  <c r="V125" i="4"/>
  <c r="U125" i="4"/>
  <c r="T125" i="4"/>
  <c r="R125" i="4"/>
  <c r="P125" i="4"/>
  <c r="W124" i="4"/>
  <c r="V124" i="4"/>
  <c r="U124" i="4"/>
  <c r="T124" i="4"/>
  <c r="R124" i="4"/>
  <c r="P124" i="4"/>
  <c r="W123" i="4"/>
  <c r="V123" i="4"/>
  <c r="U123" i="4"/>
  <c r="T123" i="4"/>
  <c r="R123" i="4"/>
  <c r="P123" i="4"/>
  <c r="S123" i="4" s="1"/>
  <c r="W122" i="4"/>
  <c r="V122" i="4"/>
  <c r="U122" i="4"/>
  <c r="T122" i="4"/>
  <c r="W121" i="4"/>
  <c r="V121" i="4"/>
  <c r="U121" i="4"/>
  <c r="T121" i="4"/>
  <c r="R121" i="4"/>
  <c r="P121" i="4"/>
  <c r="W120" i="4"/>
  <c r="V120" i="4"/>
  <c r="U120" i="4"/>
  <c r="T120" i="4"/>
  <c r="R120" i="4"/>
  <c r="P120" i="4"/>
  <c r="W119" i="4"/>
  <c r="V119" i="4"/>
  <c r="U119" i="4"/>
  <c r="T119" i="4"/>
  <c r="R119" i="4"/>
  <c r="P119" i="4"/>
  <c r="W118" i="4"/>
  <c r="V118" i="4"/>
  <c r="U118" i="4"/>
  <c r="T118" i="4"/>
  <c r="R118" i="4"/>
  <c r="P118" i="4"/>
  <c r="W117" i="4"/>
  <c r="V117" i="4"/>
  <c r="U117" i="4"/>
  <c r="T117" i="4"/>
  <c r="W116" i="4"/>
  <c r="V116" i="4"/>
  <c r="U116" i="4"/>
  <c r="T116" i="4"/>
  <c r="R116" i="4"/>
  <c r="P116" i="4"/>
  <c r="W115" i="4"/>
  <c r="V115" i="4"/>
  <c r="U115" i="4"/>
  <c r="T115" i="4"/>
  <c r="R115" i="4"/>
  <c r="P115" i="4"/>
  <c r="W114" i="4"/>
  <c r="V114" i="4"/>
  <c r="U114" i="4"/>
  <c r="T114" i="4"/>
  <c r="R114" i="4"/>
  <c r="P114" i="4"/>
  <c r="W113" i="4"/>
  <c r="V113" i="4"/>
  <c r="U113" i="4"/>
  <c r="T113" i="4"/>
  <c r="R113" i="4"/>
  <c r="P113" i="4"/>
  <c r="W112" i="4"/>
  <c r="V112" i="4"/>
  <c r="U112" i="4"/>
  <c r="T112" i="4"/>
  <c r="R112" i="4"/>
  <c r="P112" i="4"/>
  <c r="W111" i="4"/>
  <c r="V111" i="4"/>
  <c r="U111" i="4"/>
  <c r="T111" i="4"/>
  <c r="W110" i="4"/>
  <c r="V110" i="4"/>
  <c r="U110" i="4"/>
  <c r="T110" i="4"/>
  <c r="R110" i="4"/>
  <c r="P110" i="4"/>
  <c r="S110" i="4" s="1"/>
  <c r="W109" i="4"/>
  <c r="V109" i="4"/>
  <c r="U109" i="4"/>
  <c r="T109" i="4"/>
  <c r="R109" i="4"/>
  <c r="P109" i="4"/>
  <c r="S109" i="4" s="1"/>
  <c r="W108" i="4"/>
  <c r="V108" i="4"/>
  <c r="U108" i="4"/>
  <c r="T108" i="4"/>
  <c r="R108" i="4"/>
  <c r="P108" i="4"/>
  <c r="S108" i="4" s="1"/>
  <c r="W107" i="4"/>
  <c r="V107" i="4"/>
  <c r="U107" i="4"/>
  <c r="T107" i="4"/>
  <c r="R107" i="4"/>
  <c r="P107" i="4"/>
  <c r="S107" i="4" s="1"/>
  <c r="W106" i="4"/>
  <c r="V106" i="4"/>
  <c r="U106" i="4"/>
  <c r="T106" i="4"/>
  <c r="R106" i="4"/>
  <c r="P106" i="4"/>
  <c r="S106" i="4" s="1"/>
  <c r="W105" i="4"/>
  <c r="V105" i="4"/>
  <c r="U105" i="4"/>
  <c r="T105" i="4"/>
  <c r="W104" i="4"/>
  <c r="V104" i="4"/>
  <c r="U104" i="4"/>
  <c r="T104" i="4"/>
  <c r="R104" i="4"/>
  <c r="P104" i="4"/>
  <c r="W103" i="4"/>
  <c r="V103" i="4"/>
  <c r="U103" i="4"/>
  <c r="T103" i="4"/>
  <c r="R103" i="4"/>
  <c r="P103" i="4"/>
  <c r="W102" i="4"/>
  <c r="V102" i="4"/>
  <c r="U102" i="4"/>
  <c r="T102" i="4"/>
  <c r="W101" i="4"/>
  <c r="V101" i="4"/>
  <c r="U101" i="4"/>
  <c r="T101" i="4"/>
  <c r="R101" i="4"/>
  <c r="H73" i="5" s="1"/>
  <c r="P101" i="4"/>
  <c r="W100" i="4"/>
  <c r="V100" i="4"/>
  <c r="U100" i="4"/>
  <c r="T100" i="4"/>
  <c r="R100" i="4"/>
  <c r="H72" i="5" s="1"/>
  <c r="P100" i="4"/>
  <c r="F72" i="5" s="1"/>
  <c r="W99" i="4"/>
  <c r="V99" i="4"/>
  <c r="U99" i="4"/>
  <c r="T99" i="4"/>
  <c r="R99" i="4"/>
  <c r="H71" i="5" s="1"/>
  <c r="P99" i="4"/>
  <c r="W98" i="4"/>
  <c r="V98" i="4"/>
  <c r="U98" i="4"/>
  <c r="T98" i="4"/>
  <c r="W97" i="4"/>
  <c r="V97" i="4"/>
  <c r="U97" i="4"/>
  <c r="T97" i="4"/>
  <c r="R97" i="4"/>
  <c r="H39" i="5" s="1"/>
  <c r="P97" i="4"/>
  <c r="F39" i="5" s="1"/>
  <c r="W96" i="4"/>
  <c r="V96" i="4"/>
  <c r="U96" i="4"/>
  <c r="T96" i="4"/>
  <c r="R96" i="4"/>
  <c r="H38" i="5" s="1"/>
  <c r="P96" i="4"/>
  <c r="W95" i="4"/>
  <c r="V95" i="4"/>
  <c r="U95" i="4"/>
  <c r="T95" i="4"/>
  <c r="R95" i="4"/>
  <c r="H37" i="5" s="1"/>
  <c r="P95" i="4"/>
  <c r="W94" i="4"/>
  <c r="V94" i="4"/>
  <c r="U94" i="4"/>
  <c r="T94" i="4"/>
  <c r="R94" i="4"/>
  <c r="H36" i="5" s="1"/>
  <c r="P94" i="4"/>
  <c r="W93" i="4"/>
  <c r="V93" i="4"/>
  <c r="U93" i="4"/>
  <c r="T93" i="4"/>
  <c r="R93" i="4"/>
  <c r="H35" i="5" s="1"/>
  <c r="P93" i="4"/>
  <c r="F35" i="5" s="1"/>
  <c r="W92" i="4"/>
  <c r="V92" i="4"/>
  <c r="U92" i="4"/>
  <c r="T92" i="4"/>
  <c r="W91" i="4"/>
  <c r="V91" i="4"/>
  <c r="U91" i="4"/>
  <c r="T91" i="4"/>
  <c r="R91" i="4"/>
  <c r="P91" i="4"/>
  <c r="W90" i="4"/>
  <c r="V90" i="4"/>
  <c r="U90" i="4"/>
  <c r="T90" i="4"/>
  <c r="R90" i="4"/>
  <c r="P90" i="4"/>
  <c r="W89" i="4"/>
  <c r="V89" i="4"/>
  <c r="U89" i="4"/>
  <c r="T89" i="4"/>
  <c r="R89" i="4"/>
  <c r="P89" i="4"/>
  <c r="W88" i="4"/>
  <c r="V88" i="4"/>
  <c r="U88" i="4"/>
  <c r="T88" i="4"/>
  <c r="R88" i="4"/>
  <c r="P88" i="4"/>
  <c r="W87" i="4"/>
  <c r="V87" i="4"/>
  <c r="U87" i="4"/>
  <c r="T87" i="4"/>
  <c r="R87" i="4"/>
  <c r="P87" i="4"/>
  <c r="W86" i="4"/>
  <c r="V86" i="4"/>
  <c r="U86" i="4"/>
  <c r="T86" i="4"/>
  <c r="W85" i="4"/>
  <c r="V85" i="4"/>
  <c r="U85" i="4"/>
  <c r="T85" i="4"/>
  <c r="R85" i="4"/>
  <c r="P85" i="4"/>
  <c r="S85" i="4" s="1"/>
  <c r="W84" i="4"/>
  <c r="V84" i="4"/>
  <c r="U84" i="4"/>
  <c r="T84" i="4"/>
  <c r="R84" i="4"/>
  <c r="P84" i="4"/>
  <c r="S84" i="4" s="1"/>
  <c r="W83" i="4"/>
  <c r="V83" i="4"/>
  <c r="U83" i="4"/>
  <c r="T83" i="4"/>
  <c r="R83" i="4"/>
  <c r="P83" i="4"/>
  <c r="S83" i="4" s="1"/>
  <c r="W82" i="4"/>
  <c r="V82" i="4"/>
  <c r="U82" i="4"/>
  <c r="T82" i="4"/>
  <c r="R82" i="4"/>
  <c r="P82" i="4"/>
  <c r="S82" i="4" s="1"/>
  <c r="W81" i="4"/>
  <c r="V81" i="4"/>
  <c r="U81" i="4"/>
  <c r="T81" i="4"/>
  <c r="R81" i="4"/>
  <c r="P81" i="4"/>
  <c r="S81" i="4" s="1"/>
  <c r="W80" i="4"/>
  <c r="V80" i="4"/>
  <c r="U80" i="4"/>
  <c r="T80" i="4"/>
  <c r="W79" i="4"/>
  <c r="V79" i="4"/>
  <c r="U79" i="4"/>
  <c r="T79" i="4"/>
  <c r="R79" i="4"/>
  <c r="P79" i="4"/>
  <c r="S79" i="4" s="1"/>
  <c r="W78" i="4"/>
  <c r="V78" i="4"/>
  <c r="U78" i="4"/>
  <c r="T78" i="4"/>
  <c r="R78" i="4"/>
  <c r="P78" i="4"/>
  <c r="S78" i="4" s="1"/>
  <c r="W77" i="4"/>
  <c r="V77" i="4"/>
  <c r="U77" i="4"/>
  <c r="T77" i="4"/>
  <c r="R77" i="4"/>
  <c r="P77" i="4"/>
  <c r="S77" i="4" s="1"/>
  <c r="W76" i="4"/>
  <c r="V76" i="4"/>
  <c r="U76" i="4"/>
  <c r="T76" i="4"/>
  <c r="R76" i="4"/>
  <c r="P76" i="4"/>
  <c r="S76" i="4" s="1"/>
  <c r="W75" i="4"/>
  <c r="V75" i="4"/>
  <c r="U75" i="4"/>
  <c r="T75" i="4"/>
  <c r="W74" i="4"/>
  <c r="V74" i="4"/>
  <c r="U74" i="4"/>
  <c r="T74" i="4"/>
  <c r="R74" i="4"/>
  <c r="H33" i="5" s="1"/>
  <c r="P74" i="4"/>
  <c r="W73" i="4"/>
  <c r="V73" i="4"/>
  <c r="U73" i="4"/>
  <c r="T73" i="4"/>
  <c r="R73" i="4"/>
  <c r="H32" i="5" s="1"/>
  <c r="P73" i="4"/>
  <c r="W72" i="4"/>
  <c r="V72" i="4"/>
  <c r="U72" i="4"/>
  <c r="T72" i="4"/>
  <c r="R72" i="4"/>
  <c r="H31" i="5" s="1"/>
  <c r="P72" i="4"/>
  <c r="W71" i="4"/>
  <c r="V71" i="4"/>
  <c r="U71" i="4"/>
  <c r="T71" i="4"/>
  <c r="R71" i="4"/>
  <c r="H30" i="5" s="1"/>
  <c r="P71" i="4"/>
  <c r="W70" i="4"/>
  <c r="V70" i="4"/>
  <c r="U70" i="4"/>
  <c r="T70" i="4"/>
  <c r="R70" i="4"/>
  <c r="H29" i="5" s="1"/>
  <c r="P70" i="4"/>
  <c r="W69" i="4"/>
  <c r="V69" i="4"/>
  <c r="U69" i="4"/>
  <c r="T69" i="4"/>
  <c r="W68" i="4"/>
  <c r="V68" i="4"/>
  <c r="U68" i="4"/>
  <c r="T68" i="4"/>
  <c r="R68" i="4"/>
  <c r="P68" i="4"/>
  <c r="W67" i="4"/>
  <c r="V67" i="4"/>
  <c r="U67" i="4"/>
  <c r="T67" i="4"/>
  <c r="R67" i="4"/>
  <c r="P67" i="4"/>
  <c r="W66" i="4"/>
  <c r="V66" i="4"/>
  <c r="U66" i="4"/>
  <c r="T66" i="4"/>
  <c r="R66" i="4"/>
  <c r="P66" i="4"/>
  <c r="W65" i="4"/>
  <c r="V65" i="4"/>
  <c r="U65" i="4"/>
  <c r="T65" i="4"/>
  <c r="W64" i="4"/>
  <c r="V64" i="4"/>
  <c r="U64" i="4"/>
  <c r="T64" i="4"/>
  <c r="R64" i="4"/>
  <c r="P64" i="4"/>
  <c r="S64" i="4" s="1"/>
  <c r="W63" i="4"/>
  <c r="V63" i="4"/>
  <c r="U63" i="4"/>
  <c r="T63" i="4"/>
  <c r="R63" i="4"/>
  <c r="P63" i="4"/>
  <c r="S63" i="4" s="1"/>
  <c r="W62" i="4"/>
  <c r="V62" i="4"/>
  <c r="U62" i="4"/>
  <c r="T62" i="4"/>
  <c r="R62" i="4"/>
  <c r="P62" i="4"/>
  <c r="S62" i="4" s="1"/>
  <c r="W61" i="4"/>
  <c r="V61" i="4"/>
  <c r="U61" i="4"/>
  <c r="T61" i="4"/>
  <c r="R61" i="4"/>
  <c r="P61" i="4"/>
  <c r="S61" i="4" s="1"/>
  <c r="W60" i="4"/>
  <c r="V60" i="4"/>
  <c r="U60" i="4"/>
  <c r="T60" i="4"/>
  <c r="R60" i="4"/>
  <c r="P60" i="4"/>
  <c r="S60" i="4" s="1"/>
  <c r="W59" i="4"/>
  <c r="V59" i="4"/>
  <c r="U59" i="4"/>
  <c r="T59" i="4"/>
  <c r="W58" i="4"/>
  <c r="V58" i="4"/>
  <c r="U58" i="4"/>
  <c r="T58" i="4"/>
  <c r="R58" i="4"/>
  <c r="P58" i="4"/>
  <c r="W57" i="4"/>
  <c r="V57" i="4"/>
  <c r="U57" i="4"/>
  <c r="T57" i="4"/>
  <c r="R57" i="4"/>
  <c r="P57" i="4"/>
  <c r="W56" i="4"/>
  <c r="V56" i="4"/>
  <c r="U56" i="4"/>
  <c r="T56" i="4"/>
  <c r="R56" i="4"/>
  <c r="P56" i="4"/>
  <c r="W55" i="4"/>
  <c r="V55" i="4"/>
  <c r="U55" i="4"/>
  <c r="T55" i="4"/>
  <c r="R55" i="4"/>
  <c r="P55" i="4"/>
  <c r="W54" i="4"/>
  <c r="V54" i="4"/>
  <c r="U54" i="4"/>
  <c r="T54" i="4"/>
  <c r="R54" i="4"/>
  <c r="P54" i="4"/>
  <c r="W53" i="4"/>
  <c r="V53" i="4"/>
  <c r="U53" i="4"/>
  <c r="T53" i="4"/>
  <c r="W52" i="4"/>
  <c r="V52" i="4"/>
  <c r="U52" i="4"/>
  <c r="T52" i="4"/>
  <c r="R52" i="4"/>
  <c r="H90" i="5" s="1"/>
  <c r="P52" i="4"/>
  <c r="F90" i="5" s="1"/>
  <c r="W51" i="4"/>
  <c r="V51" i="4"/>
  <c r="U51" i="4"/>
  <c r="T51" i="4"/>
  <c r="R51" i="4"/>
  <c r="H89" i="5" s="1"/>
  <c r="P51" i="4"/>
  <c r="W50" i="4"/>
  <c r="V50" i="4"/>
  <c r="U50" i="4"/>
  <c r="T50" i="4"/>
  <c r="R50" i="4"/>
  <c r="H88" i="5" s="1"/>
  <c r="P50" i="4"/>
  <c r="W49" i="4"/>
  <c r="V49" i="4"/>
  <c r="U49" i="4"/>
  <c r="T49" i="4"/>
  <c r="R49" i="4"/>
  <c r="H87" i="5" s="1"/>
  <c r="P49" i="4"/>
  <c r="W48" i="4"/>
  <c r="V48" i="4"/>
  <c r="U48" i="4"/>
  <c r="T48" i="4"/>
  <c r="R48" i="4"/>
  <c r="H86" i="5" s="1"/>
  <c r="P48" i="4"/>
  <c r="F86" i="5" s="1"/>
  <c r="W47" i="4"/>
  <c r="V47" i="4"/>
  <c r="U47" i="4"/>
  <c r="T47" i="4"/>
  <c r="R47" i="4"/>
  <c r="W46" i="4"/>
  <c r="V46" i="4"/>
  <c r="U46" i="4"/>
  <c r="T46" i="4"/>
  <c r="R46" i="4"/>
  <c r="P46" i="4"/>
  <c r="W45" i="4"/>
  <c r="V45" i="4"/>
  <c r="U45" i="4"/>
  <c r="T45" i="4"/>
  <c r="R45" i="4"/>
  <c r="P45" i="4"/>
  <c r="W44" i="4"/>
  <c r="V44" i="4"/>
  <c r="U44" i="4"/>
  <c r="T44" i="4"/>
  <c r="R44" i="4"/>
  <c r="P44" i="4"/>
  <c r="W43" i="4"/>
  <c r="V43" i="4"/>
  <c r="U43" i="4"/>
  <c r="T43" i="4"/>
  <c r="R43" i="4"/>
  <c r="P43" i="4"/>
  <c r="W42" i="4"/>
  <c r="V42" i="4"/>
  <c r="U42" i="4"/>
  <c r="T42" i="4"/>
  <c r="R42" i="4"/>
  <c r="P42" i="4"/>
  <c r="W41" i="4"/>
  <c r="V41" i="4"/>
  <c r="U41" i="4"/>
  <c r="T41" i="4"/>
  <c r="W40" i="4"/>
  <c r="V40" i="4"/>
  <c r="U40" i="4"/>
  <c r="T40" i="4"/>
  <c r="R40" i="4"/>
  <c r="P40" i="4"/>
  <c r="W39" i="4"/>
  <c r="V39" i="4"/>
  <c r="U39" i="4"/>
  <c r="T39" i="4"/>
  <c r="R39" i="4"/>
  <c r="P39" i="4"/>
  <c r="W38" i="4"/>
  <c r="V38" i="4"/>
  <c r="U38" i="4"/>
  <c r="T38" i="4"/>
  <c r="R38" i="4"/>
  <c r="P38" i="4"/>
  <c r="W37" i="4"/>
  <c r="V37" i="4"/>
  <c r="U37" i="4"/>
  <c r="T37" i="4"/>
  <c r="R37" i="4"/>
  <c r="P37" i="4"/>
  <c r="W36" i="4"/>
  <c r="V36" i="4"/>
  <c r="U36" i="4"/>
  <c r="T36" i="4"/>
  <c r="R36" i="4"/>
  <c r="P36" i="4"/>
  <c r="W35" i="4"/>
  <c r="V35" i="4"/>
  <c r="U35" i="4"/>
  <c r="T35" i="4"/>
  <c r="R35" i="4"/>
  <c r="P35" i="4"/>
  <c r="W34" i="4"/>
  <c r="V34" i="4"/>
  <c r="U34" i="4"/>
  <c r="T34" i="4"/>
  <c r="R34" i="4"/>
  <c r="P34" i="4"/>
  <c r="W33" i="4"/>
  <c r="V33" i="4"/>
  <c r="U33" i="4"/>
  <c r="T33" i="4"/>
  <c r="W32" i="4"/>
  <c r="V32" i="4"/>
  <c r="U32" i="4"/>
  <c r="T32" i="4"/>
  <c r="R32" i="4"/>
  <c r="H69" i="5" s="1"/>
  <c r="P32" i="4"/>
  <c r="W31" i="4"/>
  <c r="V31" i="4"/>
  <c r="U31" i="4"/>
  <c r="T31" i="4"/>
  <c r="R31" i="4"/>
  <c r="H68" i="5" s="1"/>
  <c r="P31" i="4"/>
  <c r="W30" i="4"/>
  <c r="V30" i="4"/>
  <c r="U30" i="4"/>
  <c r="T30" i="4"/>
  <c r="R30" i="4"/>
  <c r="H67" i="5" s="1"/>
  <c r="P30" i="4"/>
  <c r="W29" i="4"/>
  <c r="V29" i="4"/>
  <c r="U29" i="4"/>
  <c r="T29" i="4"/>
  <c r="W28" i="4"/>
  <c r="V28" i="4"/>
  <c r="U28" i="4"/>
  <c r="T28" i="4"/>
  <c r="R28" i="4"/>
  <c r="H65" i="5" s="1"/>
  <c r="P28" i="4"/>
  <c r="F65" i="5" s="1"/>
  <c r="W27" i="4"/>
  <c r="V27" i="4"/>
  <c r="U27" i="4"/>
  <c r="T27" i="4"/>
  <c r="R27" i="4"/>
  <c r="H64" i="5" s="1"/>
  <c r="P27" i="4"/>
  <c r="F64" i="5" s="1"/>
  <c r="W26" i="4"/>
  <c r="V26" i="4"/>
  <c r="U26" i="4"/>
  <c r="T26" i="4"/>
  <c r="R26" i="4"/>
  <c r="H63" i="5" s="1"/>
  <c r="P26" i="4"/>
  <c r="F63" i="5" s="1"/>
  <c r="W25" i="4"/>
  <c r="V25" i="4"/>
  <c r="U25" i="4"/>
  <c r="T25" i="4"/>
  <c r="R25" i="4"/>
  <c r="H62" i="5" s="1"/>
  <c r="P25" i="4"/>
  <c r="F62" i="5" s="1"/>
  <c r="W24" i="4"/>
  <c r="V24" i="4"/>
  <c r="U24" i="4"/>
  <c r="T24" i="4"/>
  <c r="R24" i="4"/>
  <c r="H61" i="5" s="1"/>
  <c r="P24" i="4"/>
  <c r="F61" i="5" s="1"/>
  <c r="W23" i="4"/>
  <c r="V23" i="4"/>
  <c r="U23" i="4"/>
  <c r="T23" i="4"/>
  <c r="R23" i="4"/>
  <c r="H60" i="5" s="1"/>
  <c r="P23" i="4"/>
  <c r="F60" i="5" s="1"/>
  <c r="W22" i="4"/>
  <c r="V22" i="4"/>
  <c r="U22" i="4"/>
  <c r="T22" i="4"/>
  <c r="R22" i="4"/>
  <c r="H59" i="5" s="1"/>
  <c r="P22" i="4"/>
  <c r="F59" i="5" s="1"/>
  <c r="W21" i="4"/>
  <c r="V21" i="4"/>
  <c r="U21" i="4"/>
  <c r="T21" i="4"/>
  <c r="W20" i="4"/>
  <c r="V20" i="4"/>
  <c r="U20" i="4"/>
  <c r="T20" i="4"/>
  <c r="R20" i="4"/>
  <c r="H52" i="5" s="1"/>
  <c r="P20" i="4"/>
  <c r="W19" i="4"/>
  <c r="V19" i="4"/>
  <c r="U19" i="4"/>
  <c r="T19" i="4"/>
  <c r="R19" i="4"/>
  <c r="H51" i="5" s="1"/>
  <c r="P19" i="4"/>
  <c r="W18" i="4"/>
  <c r="V18" i="4"/>
  <c r="U18" i="4"/>
  <c r="T18" i="4"/>
  <c r="R18" i="4"/>
  <c r="H50" i="5" s="1"/>
  <c r="P18" i="4"/>
  <c r="W17" i="4"/>
  <c r="V17" i="4"/>
  <c r="U17" i="4"/>
  <c r="T17" i="4"/>
  <c r="R17" i="4"/>
  <c r="H49" i="5" s="1"/>
  <c r="P17" i="4"/>
  <c r="W16" i="4"/>
  <c r="V16" i="4"/>
  <c r="U16" i="4"/>
  <c r="T16" i="4"/>
  <c r="R16" i="4"/>
  <c r="H48" i="5" s="1"/>
  <c r="P16" i="4"/>
  <c r="W15" i="4"/>
  <c r="V15" i="4"/>
  <c r="U15" i="4"/>
  <c r="T15" i="4"/>
  <c r="R15" i="4"/>
  <c r="H47" i="5" s="1"/>
  <c r="P15" i="4"/>
  <c r="W14" i="4"/>
  <c r="V14" i="4"/>
  <c r="U14" i="4"/>
  <c r="T14" i="4"/>
  <c r="R14" i="4"/>
  <c r="H46" i="5" s="1"/>
  <c r="P14" i="4"/>
  <c r="W13" i="4"/>
  <c r="V13" i="4"/>
  <c r="U13" i="4"/>
  <c r="T13" i="4"/>
  <c r="W12" i="4"/>
  <c r="V12" i="4"/>
  <c r="U12" i="4"/>
  <c r="T12" i="4"/>
  <c r="R12" i="4"/>
  <c r="H12" i="5" s="1"/>
  <c r="P12" i="4"/>
  <c r="F12" i="5" s="1"/>
  <c r="W11" i="4"/>
  <c r="V11" i="4"/>
  <c r="U11" i="4"/>
  <c r="T11" i="4"/>
  <c r="R11" i="4"/>
  <c r="H11" i="5" s="1"/>
  <c r="P11" i="4"/>
  <c r="W10" i="4"/>
  <c r="V10" i="4"/>
  <c r="U10" i="4"/>
  <c r="T10" i="4"/>
  <c r="R10" i="4"/>
  <c r="H10" i="5" s="1"/>
  <c r="P10" i="4"/>
  <c r="W9" i="4"/>
  <c r="V9" i="4"/>
  <c r="U9" i="4"/>
  <c r="T9" i="4"/>
  <c r="R9" i="4"/>
  <c r="H9" i="5" s="1"/>
  <c r="P9" i="4"/>
  <c r="W8" i="4"/>
  <c r="V8" i="4"/>
  <c r="U8" i="4"/>
  <c r="T8" i="4"/>
  <c r="R8" i="4"/>
  <c r="H8" i="5" s="1"/>
  <c r="P8" i="4"/>
  <c r="W7" i="4"/>
  <c r="V7" i="4"/>
  <c r="U7" i="4"/>
  <c r="T7" i="4"/>
  <c r="R7" i="4"/>
  <c r="H7" i="5" s="1"/>
  <c r="P7" i="4"/>
  <c r="W6" i="4"/>
  <c r="V6" i="4"/>
  <c r="U6" i="4"/>
  <c r="T6" i="4"/>
  <c r="R6" i="4"/>
  <c r="H6" i="5" s="1"/>
  <c r="P6" i="4"/>
  <c r="W5" i="4"/>
  <c r="V5" i="4"/>
  <c r="U5" i="4"/>
  <c r="R5" i="4"/>
  <c r="H5" i="5" s="1"/>
  <c r="K36" i="3"/>
  <c r="J36" i="3"/>
  <c r="I36" i="3"/>
  <c r="H36" i="3"/>
  <c r="K35" i="3"/>
  <c r="J35" i="3"/>
  <c r="I35" i="3"/>
  <c r="H35" i="3"/>
  <c r="K34" i="3"/>
  <c r="J34" i="3"/>
  <c r="I34" i="3"/>
  <c r="H34" i="3"/>
  <c r="K33" i="3"/>
  <c r="J33" i="3"/>
  <c r="I33" i="3"/>
  <c r="H33" i="3"/>
  <c r="K32" i="3"/>
  <c r="J32" i="3"/>
  <c r="I32" i="3"/>
  <c r="H32" i="3"/>
  <c r="K31" i="3"/>
  <c r="J31" i="3"/>
  <c r="I31" i="3"/>
  <c r="H31" i="3"/>
  <c r="K30" i="3"/>
  <c r="J30" i="3"/>
  <c r="I30" i="3"/>
  <c r="H30" i="3"/>
  <c r="K29" i="3"/>
  <c r="J29" i="3"/>
  <c r="I29" i="3"/>
  <c r="H29" i="3"/>
  <c r="K28" i="3"/>
  <c r="J28" i="3"/>
  <c r="I28" i="3"/>
  <c r="H28" i="3"/>
  <c r="K27" i="3"/>
  <c r="J27" i="3"/>
  <c r="I27" i="3"/>
  <c r="H27" i="3"/>
  <c r="K26" i="3"/>
  <c r="J26" i="3"/>
  <c r="I26" i="3"/>
  <c r="H26" i="3"/>
  <c r="K25" i="3"/>
  <c r="J25" i="3"/>
  <c r="I25" i="3"/>
  <c r="H25" i="3"/>
  <c r="K24" i="3"/>
  <c r="J24" i="3"/>
  <c r="I24" i="3"/>
  <c r="H24" i="3"/>
  <c r="K23" i="3"/>
  <c r="J23" i="3"/>
  <c r="I23" i="3"/>
  <c r="H23" i="3"/>
  <c r="K22" i="3"/>
  <c r="J22" i="3"/>
  <c r="I22" i="3"/>
  <c r="H22" i="3"/>
  <c r="K21" i="3"/>
  <c r="J21" i="3"/>
  <c r="I21" i="3"/>
  <c r="H21" i="3"/>
  <c r="K20" i="3"/>
  <c r="J20" i="3"/>
  <c r="I20" i="3"/>
  <c r="H20" i="3"/>
  <c r="K19" i="3"/>
  <c r="J19" i="3"/>
  <c r="I19" i="3"/>
  <c r="H19" i="3"/>
  <c r="K18" i="3"/>
  <c r="J18" i="3"/>
  <c r="I18" i="3"/>
  <c r="H18" i="3"/>
  <c r="K17" i="3"/>
  <c r="J17" i="3"/>
  <c r="I17" i="3"/>
  <c r="H17" i="3"/>
  <c r="K16" i="3"/>
  <c r="J16" i="3"/>
  <c r="I16" i="3"/>
  <c r="H16" i="3"/>
  <c r="K15" i="3"/>
  <c r="J15" i="3"/>
  <c r="I15" i="3"/>
  <c r="H15" i="3"/>
  <c r="K14" i="3"/>
  <c r="J14" i="3"/>
  <c r="I14" i="3"/>
  <c r="H14" i="3"/>
  <c r="K13" i="3"/>
  <c r="J13" i="3"/>
  <c r="I13" i="3"/>
  <c r="H13" i="3"/>
  <c r="K12" i="3"/>
  <c r="J12" i="3"/>
  <c r="I12" i="3"/>
  <c r="H12" i="3"/>
  <c r="K11" i="3"/>
  <c r="J11" i="3"/>
  <c r="I11" i="3"/>
  <c r="H11" i="3"/>
  <c r="K10" i="3"/>
  <c r="J10" i="3"/>
  <c r="I10" i="3"/>
  <c r="H10" i="3"/>
  <c r="K9" i="3"/>
  <c r="J9" i="3"/>
  <c r="I9" i="3"/>
  <c r="H9" i="3"/>
  <c r="K8" i="3"/>
  <c r="J8" i="3"/>
  <c r="I8" i="3"/>
  <c r="H8" i="3"/>
  <c r="K7" i="3"/>
  <c r="J7" i="3"/>
  <c r="I7" i="3"/>
  <c r="H7" i="3"/>
  <c r="K6" i="3"/>
  <c r="J6" i="3"/>
  <c r="I6" i="3"/>
  <c r="H6" i="3"/>
  <c r="K5" i="3"/>
  <c r="J5" i="3"/>
  <c r="I5" i="3"/>
  <c r="H5" i="3"/>
  <c r="K4" i="3"/>
  <c r="J4" i="3"/>
  <c r="I4" i="3"/>
  <c r="H4" i="3"/>
  <c r="K3" i="3"/>
  <c r="J3" i="3"/>
  <c r="I3" i="3"/>
  <c r="H96" i="5" l="1"/>
  <c r="H95" i="5"/>
  <c r="H97" i="5"/>
  <c r="D41" i="13"/>
  <c r="D43" i="13"/>
  <c r="H92" i="5"/>
  <c r="H93" i="5"/>
  <c r="Q14" i="3"/>
  <c r="Q17" i="3"/>
  <c r="Q20" i="3"/>
  <c r="Q23" i="3"/>
  <c r="Q26" i="3"/>
  <c r="Q29" i="3"/>
  <c r="Q32" i="3"/>
  <c r="D8" i="13"/>
  <c r="D25" i="13"/>
  <c r="D6" i="13"/>
  <c r="S56" i="4"/>
  <c r="S131" i="4"/>
  <c r="F42" i="5"/>
  <c r="S6" i="4"/>
  <c r="F6" i="5"/>
  <c r="S50" i="4"/>
  <c r="F88" i="5"/>
  <c r="S138" i="4"/>
  <c r="F54" i="5"/>
  <c r="S42" i="4"/>
  <c r="S15" i="4"/>
  <c r="F47" i="5"/>
  <c r="S17" i="4"/>
  <c r="F49" i="5"/>
  <c r="S19" i="4"/>
  <c r="F51" i="5"/>
  <c r="S34" i="4"/>
  <c r="S36" i="4"/>
  <c r="S40" i="4"/>
  <c r="S55" i="4"/>
  <c r="S57" i="4"/>
  <c r="S70" i="4"/>
  <c r="F29" i="5"/>
  <c r="S72" i="4"/>
  <c r="F31" i="5"/>
  <c r="S74" i="4"/>
  <c r="F33" i="5"/>
  <c r="S130" i="4"/>
  <c r="F41" i="5"/>
  <c r="S132" i="4"/>
  <c r="F43" i="5"/>
  <c r="S101" i="4"/>
  <c r="S44" i="4"/>
  <c r="S177" i="4"/>
  <c r="F23" i="5"/>
  <c r="S95" i="4"/>
  <c r="F37" i="5"/>
  <c r="S11" i="4"/>
  <c r="F11" i="5"/>
  <c r="S30" i="4"/>
  <c r="F67" i="5"/>
  <c r="S32" i="4"/>
  <c r="F69" i="5"/>
  <c r="S73" i="4"/>
  <c r="F32" i="5"/>
  <c r="S8" i="4"/>
  <c r="F8" i="5"/>
  <c r="S140" i="4"/>
  <c r="F56" i="5"/>
  <c r="S155" i="4"/>
  <c r="F17" i="5"/>
  <c r="S181" i="4"/>
  <c r="F27" i="5"/>
  <c r="S7" i="4"/>
  <c r="F7" i="5"/>
  <c r="S9" i="4"/>
  <c r="F9" i="5"/>
  <c r="H94" i="5"/>
  <c r="S49" i="4"/>
  <c r="F87" i="5"/>
  <c r="S51" i="4"/>
  <c r="F89" i="5"/>
  <c r="S139" i="4"/>
  <c r="F55" i="5"/>
  <c r="S141" i="4"/>
  <c r="F57" i="5"/>
  <c r="S71" i="4"/>
  <c r="F30" i="5"/>
  <c r="S99" i="4"/>
  <c r="F71" i="5"/>
  <c r="S46" i="4"/>
  <c r="S153" i="4"/>
  <c r="F15" i="5"/>
  <c r="S43" i="4"/>
  <c r="S152" i="4"/>
  <c r="F14" i="5"/>
  <c r="S154" i="4"/>
  <c r="F16" i="5"/>
  <c r="S156" i="4"/>
  <c r="F18" i="5"/>
  <c r="S158" i="4"/>
  <c r="F20" i="5"/>
  <c r="X162" i="4"/>
  <c r="Y162" i="4" s="1"/>
  <c r="S176" i="4"/>
  <c r="F22" i="5"/>
  <c r="S178" i="4"/>
  <c r="F24" i="5"/>
  <c r="S180" i="4"/>
  <c r="F26" i="5"/>
  <c r="S58" i="4"/>
  <c r="S10" i="4"/>
  <c r="F10" i="5"/>
  <c r="X51" i="4"/>
  <c r="S94" i="4"/>
  <c r="F36" i="5"/>
  <c r="S54" i="4"/>
  <c r="S133" i="4"/>
  <c r="F44" i="5"/>
  <c r="S31" i="4"/>
  <c r="F68" i="5"/>
  <c r="S157" i="4"/>
  <c r="F19" i="5"/>
  <c r="S179" i="4"/>
  <c r="F25" i="5"/>
  <c r="X47" i="4"/>
  <c r="X81" i="4"/>
  <c r="Y81" i="4" s="1"/>
  <c r="X83" i="4"/>
  <c r="Y83" i="4" s="1"/>
  <c r="S96" i="4"/>
  <c r="F38" i="5"/>
  <c r="S14" i="4"/>
  <c r="F46" i="5"/>
  <c r="S16" i="4"/>
  <c r="F48" i="5"/>
  <c r="S18" i="4"/>
  <c r="F50" i="5"/>
  <c r="S20" i="4"/>
  <c r="F52" i="5"/>
  <c r="S35" i="4"/>
  <c r="S39" i="4"/>
  <c r="X41" i="4"/>
  <c r="X43" i="4"/>
  <c r="X45" i="4"/>
  <c r="X146" i="4"/>
  <c r="Y146" i="4" s="1"/>
  <c r="X148" i="4"/>
  <c r="Y148" i="4" s="1"/>
  <c r="X150" i="4"/>
  <c r="Y150" i="4" s="1"/>
  <c r="X103" i="4"/>
  <c r="Y103" i="4" s="1"/>
  <c r="X118" i="4"/>
  <c r="Y118" i="4" s="1"/>
  <c r="X129" i="4"/>
  <c r="X54" i="4"/>
  <c r="X134" i="4"/>
  <c r="Y134" i="4" s="1"/>
  <c r="X11" i="4"/>
  <c r="X30" i="4"/>
  <c r="X32" i="4"/>
  <c r="X55" i="4"/>
  <c r="X123" i="4"/>
  <c r="Y123" i="4" s="1"/>
  <c r="X177" i="4"/>
  <c r="X39" i="4"/>
  <c r="X64" i="4"/>
  <c r="Y64" i="4" s="1"/>
  <c r="X117" i="4"/>
  <c r="Y117" i="4" s="1"/>
  <c r="X18" i="4"/>
  <c r="X37" i="4"/>
  <c r="X92" i="4"/>
  <c r="X154" i="4"/>
  <c r="X6" i="4"/>
  <c r="X8" i="4"/>
  <c r="X12" i="4"/>
  <c r="X21" i="4"/>
  <c r="X25" i="4"/>
  <c r="X65" i="4"/>
  <c r="Y65" i="4" s="1"/>
  <c r="X99" i="4"/>
  <c r="X112" i="4"/>
  <c r="Y112" i="4" s="1"/>
  <c r="X114" i="4"/>
  <c r="Y114" i="4" s="1"/>
  <c r="X165" i="4"/>
  <c r="Y165" i="4" s="1"/>
  <c r="X59" i="4"/>
  <c r="Y59" i="4" s="1"/>
  <c r="X61" i="4"/>
  <c r="Y61" i="4" s="1"/>
  <c r="X93" i="4"/>
  <c r="X95" i="4"/>
  <c r="X50" i="4"/>
  <c r="X76" i="4"/>
  <c r="Y76" i="4" s="1"/>
  <c r="X133" i="4"/>
  <c r="X178" i="4"/>
  <c r="X20" i="4"/>
  <c r="X72" i="4"/>
  <c r="X87" i="4"/>
  <c r="Y87" i="4" s="1"/>
  <c r="X91" i="4"/>
  <c r="Y91" i="4" s="1"/>
  <c r="X106" i="4"/>
  <c r="Y106" i="4" s="1"/>
  <c r="X108" i="4"/>
  <c r="Y108" i="4" s="1"/>
  <c r="X174" i="4"/>
  <c r="X113" i="4"/>
  <c r="Y113" i="4" s="1"/>
  <c r="X77" i="4"/>
  <c r="Y77" i="4" s="1"/>
  <c r="X130" i="4"/>
  <c r="X136" i="4"/>
  <c r="Y136" i="4" s="1"/>
  <c r="X170" i="4"/>
  <c r="Y170" i="4" s="1"/>
  <c r="X179" i="4"/>
  <c r="X15" i="4"/>
  <c r="X34" i="4"/>
  <c r="X58" i="4"/>
  <c r="X121" i="4"/>
  <c r="Y121" i="4" s="1"/>
  <c r="X166" i="4"/>
  <c r="Y166" i="4" s="1"/>
  <c r="X73" i="4"/>
  <c r="X94" i="4"/>
  <c r="X175" i="4"/>
  <c r="X9" i="4"/>
  <c r="X145" i="4"/>
  <c r="Y145" i="4" s="1"/>
  <c r="X27" i="4"/>
  <c r="X35" i="4"/>
  <c r="X71" i="4"/>
  <c r="X102" i="4"/>
  <c r="Y102" i="4" s="1"/>
  <c r="X116" i="4"/>
  <c r="Y116" i="4" s="1"/>
  <c r="X120" i="4"/>
  <c r="Y120" i="4" s="1"/>
  <c r="X126" i="4"/>
  <c r="Y126" i="4" s="1"/>
  <c r="X132" i="4"/>
  <c r="X140" i="4"/>
  <c r="X152" i="4"/>
  <c r="X160" i="4"/>
  <c r="Y160" i="4" s="1"/>
  <c r="X168" i="4"/>
  <c r="Y168" i="4" s="1"/>
  <c r="X172" i="4"/>
  <c r="Y172" i="4" s="1"/>
  <c r="X16" i="4"/>
  <c r="X22" i="4"/>
  <c r="X24" i="4"/>
  <c r="X28" i="4"/>
  <c r="X63" i="4"/>
  <c r="Y63" i="4" s="1"/>
  <c r="X67" i="4"/>
  <c r="Y67" i="4" s="1"/>
  <c r="X98" i="4"/>
  <c r="X100" i="4"/>
  <c r="X104" i="4"/>
  <c r="Y104" i="4" s="1"/>
  <c r="X124" i="4"/>
  <c r="Y124" i="4" s="1"/>
  <c r="X128" i="4"/>
  <c r="Y128" i="4" s="1"/>
  <c r="X144" i="4"/>
  <c r="Y144" i="4" s="1"/>
  <c r="X164" i="4"/>
  <c r="Y164" i="4" s="1"/>
  <c r="X180" i="4"/>
  <c r="X66" i="4"/>
  <c r="Y66" i="4" s="1"/>
  <c r="X109" i="4"/>
  <c r="Y109" i="4" s="1"/>
  <c r="X127" i="4"/>
  <c r="Y127" i="4" s="1"/>
  <c r="X147" i="4"/>
  <c r="Y147" i="4" s="1"/>
  <c r="X161" i="4"/>
  <c r="Y161" i="4" s="1"/>
  <c r="X13" i="4"/>
  <c r="X31" i="4"/>
  <c r="X157" i="4"/>
  <c r="X101" i="4"/>
  <c r="X181" i="4"/>
  <c r="X19" i="4"/>
  <c r="X23" i="4"/>
  <c r="X53" i="4"/>
  <c r="X97" i="4"/>
  <c r="X176" i="4"/>
  <c r="X75" i="4"/>
  <c r="Y75" i="4" s="1"/>
  <c r="X89" i="4"/>
  <c r="Y89" i="4" s="1"/>
  <c r="X85" i="4"/>
  <c r="Y85" i="4" s="1"/>
  <c r="X14" i="4"/>
  <c r="X82" i="4"/>
  <c r="Y82" i="4" s="1"/>
  <c r="X86" i="4"/>
  <c r="Y86" i="4" s="1"/>
  <c r="X90" i="4"/>
  <c r="Y90" i="4" s="1"/>
  <c r="X96" i="4"/>
  <c r="X110" i="4"/>
  <c r="Y110" i="4" s="1"/>
  <c r="X153" i="4"/>
  <c r="X10" i="4"/>
  <c r="X26" i="4"/>
  <c r="X36" i="4"/>
  <c r="X40" i="4"/>
  <c r="X44" i="4"/>
  <c r="X46" i="4"/>
  <c r="X52" i="4"/>
  <c r="X56" i="4"/>
  <c r="X60" i="4"/>
  <c r="Y60" i="4" s="1"/>
  <c r="X70" i="4"/>
  <c r="X78" i="4"/>
  <c r="Y78" i="4" s="1"/>
  <c r="X80" i="4"/>
  <c r="Y80" i="4" s="1"/>
  <c r="X84" i="4"/>
  <c r="Y84" i="4" s="1"/>
  <c r="X105" i="4"/>
  <c r="Y105" i="4" s="1"/>
  <c r="X111" i="4"/>
  <c r="Y111" i="4" s="1"/>
  <c r="X131" i="4"/>
  <c r="X143" i="4"/>
  <c r="Y143" i="4" s="1"/>
  <c r="X151" i="4"/>
  <c r="X158" i="4"/>
  <c r="X163" i="4"/>
  <c r="Y163" i="4" s="1"/>
  <c r="X141" i="4"/>
  <c r="X49" i="4"/>
  <c r="X48" i="4"/>
  <c r="X88" i="4"/>
  <c r="Y88" i="4" s="1"/>
  <c r="X137" i="4"/>
  <c r="X156" i="4"/>
  <c r="X169" i="4"/>
  <c r="Y169" i="4" s="1"/>
  <c r="X173" i="4"/>
  <c r="Y173" i="4" s="1"/>
  <c r="X29" i="4"/>
  <c r="X33" i="4"/>
  <c r="X62" i="4"/>
  <c r="Y62" i="4" s="1"/>
  <c r="X68" i="4"/>
  <c r="Y68" i="4" s="1"/>
  <c r="X74" i="4"/>
  <c r="X115" i="4"/>
  <c r="Y115" i="4" s="1"/>
  <c r="X125" i="4"/>
  <c r="Y125" i="4" s="1"/>
  <c r="X135" i="4"/>
  <c r="Y135" i="4" s="1"/>
  <c r="X139" i="4"/>
  <c r="X149" i="4"/>
  <c r="Y149" i="4" s="1"/>
  <c r="X155" i="4"/>
  <c r="X159" i="4"/>
  <c r="Y159" i="4" s="1"/>
  <c r="X171" i="4"/>
  <c r="Y171" i="4" s="1"/>
  <c r="L7" i="3"/>
  <c r="O7" i="3" s="1"/>
  <c r="N3" i="3"/>
  <c r="L5" i="3"/>
  <c r="O5" i="3" s="1"/>
  <c r="Q35" i="3"/>
  <c r="Q7" i="3"/>
  <c r="L4" i="3"/>
  <c r="O4" i="3" s="1"/>
  <c r="Q6" i="3"/>
  <c r="Q5" i="3"/>
  <c r="L9" i="3"/>
  <c r="O9" i="3" s="1"/>
  <c r="L12" i="3"/>
  <c r="N12" i="3" s="1"/>
  <c r="L8" i="3"/>
  <c r="M8" i="3" s="1"/>
  <c r="L11" i="3"/>
  <c r="N11" i="3" s="1"/>
  <c r="Q8" i="3"/>
  <c r="Q12" i="3"/>
  <c r="L6" i="3"/>
  <c r="O6" i="3" s="1"/>
  <c r="Q4" i="3"/>
  <c r="Q15" i="3"/>
  <c r="Q36" i="3"/>
  <c r="Q18" i="3"/>
  <c r="Q21" i="3"/>
  <c r="Q24" i="3"/>
  <c r="Q27" i="3"/>
  <c r="Q30" i="3"/>
  <c r="Q33" i="3"/>
  <c r="Q9" i="3"/>
  <c r="L10" i="3"/>
  <c r="M10" i="3" s="1"/>
  <c r="Q13" i="3"/>
  <c r="Q16" i="3"/>
  <c r="Q19" i="3"/>
  <c r="Q22" i="3"/>
  <c r="Q25" i="3"/>
  <c r="Q28" i="3"/>
  <c r="Q31" i="3"/>
  <c r="Q34" i="3"/>
  <c r="X42" i="4"/>
  <c r="X122" i="4"/>
  <c r="Y122" i="4" s="1"/>
  <c r="X142" i="4"/>
  <c r="Y142" i="4" s="1"/>
  <c r="X17" i="4"/>
  <c r="X69" i="4"/>
  <c r="X79" i="4"/>
  <c r="Y79" i="4" s="1"/>
  <c r="X119" i="4"/>
  <c r="Y119" i="4" s="1"/>
  <c r="X57" i="4"/>
  <c r="X167" i="4"/>
  <c r="Y167" i="4" s="1"/>
  <c r="X7" i="4"/>
  <c r="X38" i="4"/>
  <c r="X107" i="4"/>
  <c r="Y107" i="4" s="1"/>
  <c r="X138" i="4"/>
  <c r="L13" i="3"/>
  <c r="L15" i="3"/>
  <c r="L17" i="3"/>
  <c r="L19" i="3"/>
  <c r="L21" i="3"/>
  <c r="L23" i="3"/>
  <c r="L25" i="3"/>
  <c r="L27" i="3"/>
  <c r="L29" i="3"/>
  <c r="L31" i="3"/>
  <c r="L33" i="3"/>
  <c r="L35" i="3"/>
  <c r="L14" i="3"/>
  <c r="L16" i="3"/>
  <c r="L18" i="3"/>
  <c r="L20" i="3"/>
  <c r="L22" i="3"/>
  <c r="L24" i="3"/>
  <c r="L26" i="3"/>
  <c r="L28" i="3"/>
  <c r="L30" i="3"/>
  <c r="L32" i="3"/>
  <c r="L34" i="3"/>
  <c r="L36" i="3"/>
  <c r="Q10" i="3"/>
  <c r="Q11" i="3"/>
  <c r="C38" i="3" s="1"/>
  <c r="C3" i="3"/>
  <c r="P5" i="3"/>
  <c r="C5" i="3" s="1"/>
  <c r="D5" i="13" l="1"/>
  <c r="D15" i="13"/>
  <c r="D27" i="13"/>
  <c r="D33" i="13"/>
  <c r="D26" i="13"/>
  <c r="D21" i="13"/>
  <c r="D47" i="13"/>
  <c r="D30" i="13"/>
  <c r="N7" i="3"/>
  <c r="M7" i="3"/>
  <c r="R7" i="3" s="1"/>
  <c r="P7" i="3"/>
  <c r="C7" i="3" s="1"/>
  <c r="F33" i="4" s="1"/>
  <c r="D29" i="13"/>
  <c r="D20" i="13"/>
  <c r="D22" i="13"/>
  <c r="D9" i="13"/>
  <c r="D44" i="13"/>
  <c r="D13" i="13"/>
  <c r="D48" i="13"/>
  <c r="D28" i="13"/>
  <c r="D11" i="13"/>
  <c r="D46" i="13"/>
  <c r="D10" i="13"/>
  <c r="D45" i="13"/>
  <c r="D23" i="13"/>
  <c r="D50" i="13"/>
  <c r="D14" i="13"/>
  <c r="D49" i="13"/>
  <c r="D7" i="13"/>
  <c r="D42" i="13"/>
  <c r="D17" i="13"/>
  <c r="D12" i="13"/>
  <c r="D31" i="13"/>
  <c r="D19" i="13"/>
  <c r="D34" i="13"/>
  <c r="D16" i="13"/>
  <c r="D18" i="13"/>
  <c r="Y33" i="4"/>
  <c r="Y151" i="4"/>
  <c r="I13" i="5"/>
  <c r="I19" i="5"/>
  <c r="Y130" i="4"/>
  <c r="I41" i="5"/>
  <c r="Y21" i="4"/>
  <c r="I58" i="5"/>
  <c r="Y29" i="4"/>
  <c r="I66" i="5"/>
  <c r="Y14" i="4"/>
  <c r="I46" i="5"/>
  <c r="Y50" i="4"/>
  <c r="I88" i="5"/>
  <c r="Y12" i="4"/>
  <c r="I12" i="5"/>
  <c r="Y138" i="4"/>
  <c r="I54" i="5"/>
  <c r="Y42" i="4"/>
  <c r="Y131" i="4"/>
  <c r="I42" i="5"/>
  <c r="Y40" i="4"/>
  <c r="Y13" i="4"/>
  <c r="I45" i="5"/>
  <c r="Y140" i="4"/>
  <c r="I56" i="5"/>
  <c r="Y95" i="4"/>
  <c r="I37" i="5"/>
  <c r="Y32" i="4"/>
  <c r="I69" i="5"/>
  <c r="Y139" i="4"/>
  <c r="I55" i="5"/>
  <c r="Y10" i="4"/>
  <c r="I10" i="5"/>
  <c r="Y5" i="4"/>
  <c r="Y97" i="4"/>
  <c r="I39" i="5"/>
  <c r="Y28" i="4"/>
  <c r="I65" i="5"/>
  <c r="Y58" i="4"/>
  <c r="Y37" i="4"/>
  <c r="Y54" i="4"/>
  <c r="Y132" i="4"/>
  <c r="I43" i="5"/>
  <c r="Y6" i="4"/>
  <c r="I6" i="5"/>
  <c r="Y30" i="4"/>
  <c r="I67" i="5"/>
  <c r="Y57" i="4"/>
  <c r="Y48" i="4"/>
  <c r="I86" i="5"/>
  <c r="Y153" i="4"/>
  <c r="I15" i="5"/>
  <c r="Y53" i="4"/>
  <c r="Y24" i="4"/>
  <c r="I61" i="5"/>
  <c r="Y34" i="4"/>
  <c r="Y18" i="4"/>
  <c r="I50" i="5"/>
  <c r="Y129" i="4"/>
  <c r="I40" i="5"/>
  <c r="Y152" i="4"/>
  <c r="I14" i="5"/>
  <c r="Y55" i="4"/>
  <c r="Y100" i="4"/>
  <c r="I72" i="5"/>
  <c r="Y23" i="4"/>
  <c r="I60" i="5"/>
  <c r="Y44" i="4"/>
  <c r="Y175" i="4"/>
  <c r="I21" i="5"/>
  <c r="Y45" i="4"/>
  <c r="Y94" i="4"/>
  <c r="I36" i="5"/>
  <c r="Y155" i="4"/>
  <c r="I17" i="5"/>
  <c r="Y36" i="4"/>
  <c r="Y41" i="4"/>
  <c r="Y7" i="4"/>
  <c r="I7" i="5"/>
  <c r="Y137" i="4"/>
  <c r="I53" i="5"/>
  <c r="J53" i="5" s="1"/>
  <c r="Y92" i="4"/>
  <c r="I34" i="5"/>
  <c r="Y71" i="4"/>
  <c r="I30" i="5"/>
  <c r="Y72" i="4"/>
  <c r="I31" i="5"/>
  <c r="Y74" i="4"/>
  <c r="I33" i="5"/>
  <c r="Y141" i="4"/>
  <c r="I57" i="5"/>
  <c r="Y96" i="4"/>
  <c r="I38" i="5"/>
  <c r="Y19" i="4"/>
  <c r="I51" i="5"/>
  <c r="Y16" i="4"/>
  <c r="I48" i="5"/>
  <c r="Y35" i="4"/>
  <c r="Y179" i="4"/>
  <c r="I25" i="5"/>
  <c r="Y20" i="4"/>
  <c r="I52" i="5"/>
  <c r="Y99" i="4"/>
  <c r="I71" i="5"/>
  <c r="Y47" i="4"/>
  <c r="I85" i="5"/>
  <c r="Y43" i="4"/>
  <c r="Y73" i="4"/>
  <c r="I32" i="5"/>
  <c r="Y49" i="4"/>
  <c r="Y22" i="4"/>
  <c r="Y181" i="4"/>
  <c r="I27" i="5"/>
  <c r="Y51" i="4"/>
  <c r="I89" i="5"/>
  <c r="Y46" i="4"/>
  <c r="Y9" i="4"/>
  <c r="I9" i="5"/>
  <c r="Y31" i="4"/>
  <c r="I68" i="5"/>
  <c r="Y8" i="4"/>
  <c r="I8" i="5"/>
  <c r="Y98" i="4"/>
  <c r="I70" i="5"/>
  <c r="Y93" i="4"/>
  <c r="I35" i="5"/>
  <c r="Y38" i="4"/>
  <c r="Y156" i="4"/>
  <c r="I18" i="5"/>
  <c r="Y26" i="4"/>
  <c r="I63" i="5"/>
  <c r="Y154" i="4"/>
  <c r="I16" i="5"/>
  <c r="Y11" i="4"/>
  <c r="I11" i="5"/>
  <c r="Y176" i="4"/>
  <c r="I22" i="5"/>
  <c r="Y70" i="4"/>
  <c r="I29" i="5"/>
  <c r="Y180" i="4"/>
  <c r="I26" i="5"/>
  <c r="Y15" i="4"/>
  <c r="I47" i="5"/>
  <c r="Y69" i="4"/>
  <c r="Y56" i="4"/>
  <c r="Y27" i="4"/>
  <c r="I64" i="5"/>
  <c r="Y178" i="4"/>
  <c r="I24" i="5"/>
  <c r="Y39" i="4"/>
  <c r="Y17" i="4"/>
  <c r="I49" i="5"/>
  <c r="Y158" i="4"/>
  <c r="I20" i="5"/>
  <c r="Y52" i="4"/>
  <c r="I90" i="5"/>
  <c r="Y101" i="4"/>
  <c r="I73" i="5"/>
  <c r="Y133" i="4"/>
  <c r="I44" i="5"/>
  <c r="Y25" i="4"/>
  <c r="I62" i="5"/>
  <c r="Y177" i="4"/>
  <c r="I23" i="5"/>
  <c r="E58" i="5"/>
  <c r="F21" i="4"/>
  <c r="N5" i="3"/>
  <c r="P4" i="3"/>
  <c r="C4" i="3" s="1"/>
  <c r="M4" i="3"/>
  <c r="R4" i="3" s="1"/>
  <c r="O10" i="3"/>
  <c r="N10" i="3"/>
  <c r="P6" i="3"/>
  <c r="C6" i="3" s="1"/>
  <c r="O8" i="3"/>
  <c r="P8" i="3"/>
  <c r="C8" i="3" s="1"/>
  <c r="M12" i="3"/>
  <c r="R12" i="3" s="1"/>
  <c r="O12" i="3"/>
  <c r="P9" i="3"/>
  <c r="C9" i="3" s="1"/>
  <c r="P10" i="3"/>
  <c r="N6" i="3"/>
  <c r="N4" i="3"/>
  <c r="P12" i="3"/>
  <c r="M5" i="3"/>
  <c r="N8" i="3"/>
  <c r="M3" i="3"/>
  <c r="O3" i="3"/>
  <c r="M9" i="3"/>
  <c r="R9" i="3" s="1"/>
  <c r="N9" i="3"/>
  <c r="M11" i="3"/>
  <c r="R11" i="3" s="1"/>
  <c r="R8" i="3"/>
  <c r="P11" i="3"/>
  <c r="M6" i="3"/>
  <c r="R6" i="3" s="1"/>
  <c r="O11" i="3"/>
  <c r="O29" i="3"/>
  <c r="N29" i="3"/>
  <c r="P29" i="3"/>
  <c r="M29" i="3"/>
  <c r="R29" i="3" s="1"/>
  <c r="N20" i="3"/>
  <c r="O20" i="3"/>
  <c r="P20" i="3"/>
  <c r="M20" i="3"/>
  <c r="R20" i="3" s="1"/>
  <c r="N23" i="3"/>
  <c r="O23" i="3"/>
  <c r="P23" i="3"/>
  <c r="M23" i="3"/>
  <c r="R23" i="3" s="1"/>
  <c r="O25" i="3"/>
  <c r="N25" i="3"/>
  <c r="P25" i="3"/>
  <c r="M25" i="3"/>
  <c r="R25" i="3" s="1"/>
  <c r="O18" i="3"/>
  <c r="N18" i="3"/>
  <c r="P18" i="3"/>
  <c r="M18" i="3"/>
  <c r="R18" i="3" s="1"/>
  <c r="O21" i="3"/>
  <c r="N21" i="3"/>
  <c r="P21" i="3"/>
  <c r="M21" i="3"/>
  <c r="R21" i="3" s="1"/>
  <c r="R10" i="3"/>
  <c r="O31" i="3"/>
  <c r="N31" i="3"/>
  <c r="P31" i="3"/>
  <c r="M31" i="3"/>
  <c r="R31" i="3" s="1"/>
  <c r="O22" i="3"/>
  <c r="N22" i="3"/>
  <c r="P22" i="3"/>
  <c r="M22" i="3"/>
  <c r="R22" i="3" s="1"/>
  <c r="O16" i="3"/>
  <c r="N16" i="3"/>
  <c r="P16" i="3"/>
  <c r="M16" i="3"/>
  <c r="R16" i="3" s="1"/>
  <c r="O19" i="3"/>
  <c r="N19" i="3"/>
  <c r="P19" i="3"/>
  <c r="M19" i="3"/>
  <c r="R19" i="3" s="1"/>
  <c r="N26" i="3"/>
  <c r="O26" i="3"/>
  <c r="P26" i="3"/>
  <c r="M26" i="3"/>
  <c r="R26" i="3" s="1"/>
  <c r="N14" i="3"/>
  <c r="N38" i="3" s="1"/>
  <c r="O14" i="3"/>
  <c r="P14" i="3"/>
  <c r="M14" i="3"/>
  <c r="R14" i="3" s="1"/>
  <c r="N17" i="3"/>
  <c r="O17" i="3"/>
  <c r="P17" i="3"/>
  <c r="M17" i="3"/>
  <c r="R17" i="3" s="1"/>
  <c r="O28" i="3"/>
  <c r="N28" i="3"/>
  <c r="P28" i="3"/>
  <c r="M28" i="3"/>
  <c r="R28" i="3" s="1"/>
  <c r="N36" i="3"/>
  <c r="O36" i="3"/>
  <c r="P36" i="3"/>
  <c r="C36" i="3" s="1"/>
  <c r="M36" i="3"/>
  <c r="R36" i="3" s="1"/>
  <c r="O15" i="3"/>
  <c r="N15" i="3"/>
  <c r="P15" i="3"/>
  <c r="M15" i="3"/>
  <c r="R15" i="3" s="1"/>
  <c r="O24" i="3"/>
  <c r="N24" i="3"/>
  <c r="P24" i="3"/>
  <c r="M24" i="3"/>
  <c r="R24" i="3" s="1"/>
  <c r="O34" i="3"/>
  <c r="N34" i="3"/>
  <c r="P34" i="3"/>
  <c r="M34" i="3"/>
  <c r="R34" i="3" s="1"/>
  <c r="O13" i="3"/>
  <c r="N13" i="3"/>
  <c r="P13" i="3"/>
  <c r="M13" i="3"/>
  <c r="R13" i="3" s="1"/>
  <c r="O32" i="3"/>
  <c r="N32" i="3"/>
  <c r="P32" i="3"/>
  <c r="M32" i="3"/>
  <c r="R32" i="3" s="1"/>
  <c r="N35" i="3"/>
  <c r="O35" i="3"/>
  <c r="P35" i="3"/>
  <c r="M35" i="3"/>
  <c r="R35" i="3" s="1"/>
  <c r="O27" i="3"/>
  <c r="N27" i="3"/>
  <c r="P27" i="3"/>
  <c r="M27" i="3"/>
  <c r="R27" i="3" s="1"/>
  <c r="N30" i="3"/>
  <c r="O30" i="3"/>
  <c r="P30" i="3"/>
  <c r="M30" i="3"/>
  <c r="R30" i="3" s="1"/>
  <c r="O33" i="3"/>
  <c r="N33" i="3"/>
  <c r="P33" i="3"/>
  <c r="M33" i="3"/>
  <c r="R33" i="3" s="1"/>
  <c r="C30" i="3" l="1"/>
  <c r="C27" i="3"/>
  <c r="J24" i="5"/>
  <c r="L24" i="5"/>
  <c r="K24" i="5"/>
  <c r="L72" i="5"/>
  <c r="K72" i="5"/>
  <c r="J72" i="5"/>
  <c r="J42" i="5"/>
  <c r="K42" i="5"/>
  <c r="L42" i="5"/>
  <c r="K14" i="5"/>
  <c r="L14" i="5"/>
  <c r="J14" i="5"/>
  <c r="J37" i="5"/>
  <c r="K37" i="5"/>
  <c r="L37" i="5"/>
  <c r="L20" i="5"/>
  <c r="K20" i="5"/>
  <c r="J20" i="5"/>
  <c r="K28" i="5"/>
  <c r="J8" i="5"/>
  <c r="L8" i="5"/>
  <c r="K8" i="5"/>
  <c r="J59" i="5"/>
  <c r="L59" i="5"/>
  <c r="K59" i="5"/>
  <c r="J57" i="5"/>
  <c r="K57" i="5"/>
  <c r="L57" i="5"/>
  <c r="L7" i="5"/>
  <c r="K7" i="5"/>
  <c r="J7" i="5"/>
  <c r="J21" i="5"/>
  <c r="L21" i="5"/>
  <c r="K21" i="5"/>
  <c r="J40" i="5"/>
  <c r="K40" i="5"/>
  <c r="L40" i="5"/>
  <c r="K86" i="5"/>
  <c r="L86" i="5"/>
  <c r="J86" i="5"/>
  <c r="L39" i="5"/>
  <c r="J39" i="5"/>
  <c r="K39" i="5"/>
  <c r="J56" i="5"/>
  <c r="L56" i="5"/>
  <c r="K56" i="5"/>
  <c r="K12" i="5"/>
  <c r="J12" i="5"/>
  <c r="L12" i="5"/>
  <c r="J19" i="5"/>
  <c r="K19" i="5"/>
  <c r="L19" i="5"/>
  <c r="L69" i="5"/>
  <c r="J69" i="5"/>
  <c r="K69" i="5"/>
  <c r="J11" i="5"/>
  <c r="L11" i="5"/>
  <c r="K11" i="5"/>
  <c r="K38" i="5"/>
  <c r="L38" i="5"/>
  <c r="J38" i="5"/>
  <c r="J54" i="5"/>
  <c r="L54" i="5"/>
  <c r="K54" i="5"/>
  <c r="J16" i="5"/>
  <c r="K16" i="5"/>
  <c r="L16" i="5"/>
  <c r="J52" i="5"/>
  <c r="L52" i="5"/>
  <c r="K52" i="5"/>
  <c r="J29" i="5"/>
  <c r="L29" i="5"/>
  <c r="K29" i="5"/>
  <c r="J48" i="5"/>
  <c r="L48" i="5"/>
  <c r="K48" i="5"/>
  <c r="L61" i="5"/>
  <c r="J61" i="5"/>
  <c r="K61" i="5"/>
  <c r="J6" i="5"/>
  <c r="L6" i="5"/>
  <c r="K6" i="5"/>
  <c r="L64" i="5"/>
  <c r="K64" i="5"/>
  <c r="J64" i="5"/>
  <c r="K55" i="5"/>
  <c r="J55" i="5"/>
  <c r="L55" i="5"/>
  <c r="J73" i="5"/>
  <c r="L73" i="5"/>
  <c r="K73" i="5"/>
  <c r="J89" i="5"/>
  <c r="K89" i="5"/>
  <c r="L89" i="5"/>
  <c r="J51" i="5"/>
  <c r="K51" i="5"/>
  <c r="L51" i="5"/>
  <c r="J27" i="5"/>
  <c r="K27" i="5"/>
  <c r="L27" i="5"/>
  <c r="L23" i="5"/>
  <c r="K23" i="5"/>
  <c r="J23" i="5"/>
  <c r="K47" i="5"/>
  <c r="L47" i="5"/>
  <c r="J47" i="5"/>
  <c r="L87" i="5"/>
  <c r="K87" i="5"/>
  <c r="J87" i="5"/>
  <c r="K50" i="5"/>
  <c r="J50" i="5"/>
  <c r="L50" i="5"/>
  <c r="K88" i="5"/>
  <c r="J88" i="5"/>
  <c r="L88" i="5"/>
  <c r="L44" i="5"/>
  <c r="K44" i="5"/>
  <c r="J44" i="5"/>
  <c r="K30" i="5"/>
  <c r="J30" i="5"/>
  <c r="L30" i="5"/>
  <c r="K35" i="5"/>
  <c r="J35" i="5"/>
  <c r="L35" i="5"/>
  <c r="J36" i="5"/>
  <c r="L36" i="5"/>
  <c r="K36" i="5"/>
  <c r="J71" i="5"/>
  <c r="L71" i="5"/>
  <c r="K71" i="5"/>
  <c r="L65" i="5"/>
  <c r="J65" i="5"/>
  <c r="K65" i="5"/>
  <c r="J25" i="5"/>
  <c r="L25" i="5"/>
  <c r="K25" i="5"/>
  <c r="K5" i="5"/>
  <c r="L5" i="5"/>
  <c r="L45" i="5"/>
  <c r="K45" i="5"/>
  <c r="J45" i="5"/>
  <c r="J18" i="5"/>
  <c r="L18" i="5"/>
  <c r="K18" i="5"/>
  <c r="L60" i="5"/>
  <c r="J60" i="5"/>
  <c r="K60" i="5"/>
  <c r="L10" i="5"/>
  <c r="J10" i="5"/>
  <c r="K10" i="5"/>
  <c r="L46" i="5"/>
  <c r="J46" i="5"/>
  <c r="K46" i="5"/>
  <c r="K17" i="5"/>
  <c r="J17" i="5"/>
  <c r="L17" i="5"/>
  <c r="J66" i="5"/>
  <c r="K66" i="5"/>
  <c r="L66" i="5"/>
  <c r="J22" i="5"/>
  <c r="K22" i="5"/>
  <c r="L22" i="5"/>
  <c r="J85" i="5"/>
  <c r="L85" i="5"/>
  <c r="K85" i="5"/>
  <c r="J34" i="5"/>
  <c r="L34" i="5"/>
  <c r="K34" i="5"/>
  <c r="J43" i="5"/>
  <c r="L43" i="5"/>
  <c r="K43" i="5"/>
  <c r="J58" i="5"/>
  <c r="K58" i="5"/>
  <c r="L58" i="5"/>
  <c r="J90" i="5"/>
  <c r="K90" i="5"/>
  <c r="L90" i="5"/>
  <c r="J70" i="5"/>
  <c r="L70" i="5"/>
  <c r="K70" i="5"/>
  <c r="K53" i="5"/>
  <c r="L53" i="5"/>
  <c r="J15" i="5"/>
  <c r="K15" i="5"/>
  <c r="L15" i="5"/>
  <c r="L41" i="5"/>
  <c r="K41" i="5"/>
  <c r="J41" i="5"/>
  <c r="K49" i="5"/>
  <c r="L49" i="5"/>
  <c r="J49" i="5"/>
  <c r="J63" i="5"/>
  <c r="K63" i="5"/>
  <c r="L63" i="5"/>
  <c r="L68" i="5"/>
  <c r="J68" i="5"/>
  <c r="K68" i="5"/>
  <c r="K33" i="5"/>
  <c r="J33" i="5"/>
  <c r="L33" i="5"/>
  <c r="J13" i="5"/>
  <c r="L13" i="5"/>
  <c r="K13" i="5"/>
  <c r="J62" i="5"/>
  <c r="K62" i="5"/>
  <c r="L62" i="5"/>
  <c r="L26" i="5"/>
  <c r="K26" i="5"/>
  <c r="J26" i="5"/>
  <c r="J9" i="5"/>
  <c r="L9" i="5"/>
  <c r="K9" i="5"/>
  <c r="K32" i="5"/>
  <c r="L32" i="5"/>
  <c r="J32" i="5"/>
  <c r="L31" i="5"/>
  <c r="J31" i="5"/>
  <c r="K31" i="5"/>
  <c r="J67" i="5"/>
  <c r="K67" i="5"/>
  <c r="L67" i="5"/>
  <c r="E45" i="5"/>
  <c r="F13" i="4"/>
  <c r="E13" i="5"/>
  <c r="F151" i="4"/>
  <c r="F47" i="4"/>
  <c r="E85" i="5"/>
  <c r="F41" i="4"/>
  <c r="F137" i="4"/>
  <c r="E53" i="5"/>
  <c r="F175" i="4"/>
  <c r="E21" i="5"/>
  <c r="E66" i="5"/>
  <c r="F29" i="4"/>
  <c r="C10" i="3"/>
  <c r="C24" i="3"/>
  <c r="F127" i="4" s="1"/>
  <c r="C18" i="3"/>
  <c r="C20" i="3"/>
  <c r="F105" i="4" s="1"/>
  <c r="C12" i="3"/>
  <c r="F65" i="4" s="1"/>
  <c r="C32" i="3"/>
  <c r="F163" i="4" s="1"/>
  <c r="C21" i="3"/>
  <c r="F111" i="4" s="1"/>
  <c r="P38" i="3"/>
  <c r="V8" i="3" s="1"/>
  <c r="C11" i="3"/>
  <c r="O38" i="3"/>
  <c r="V9" i="3" s="1"/>
  <c r="C15" i="3"/>
  <c r="F80" i="4" s="1"/>
  <c r="C33" i="3"/>
  <c r="F166" i="4" s="1"/>
  <c r="C35" i="3"/>
  <c r="F172" i="4" s="1"/>
  <c r="V10" i="3"/>
  <c r="C17" i="3"/>
  <c r="C25" i="3"/>
  <c r="C34" i="3"/>
  <c r="F169" i="4" s="1"/>
  <c r="C19" i="3"/>
  <c r="F102" i="4" s="1"/>
  <c r="C31" i="3"/>
  <c r="F159" i="4" s="1"/>
  <c r="C14" i="3"/>
  <c r="C16" i="3"/>
  <c r="F86" i="4" s="1"/>
  <c r="C29" i="3"/>
  <c r="F146" i="4" s="1"/>
  <c r="M38" i="3"/>
  <c r="C13" i="3"/>
  <c r="C28" i="3"/>
  <c r="F142" i="4" s="1"/>
  <c r="C26" i="3"/>
  <c r="F134" i="4" s="1"/>
  <c r="C22" i="3"/>
  <c r="F117" i="4" s="1"/>
  <c r="C23" i="3"/>
  <c r="F122" i="4" s="1"/>
  <c r="L92" i="5" l="1"/>
  <c r="J92" i="5"/>
  <c r="K92" i="5"/>
  <c r="J95" i="5"/>
  <c r="L95" i="5"/>
  <c r="O4" i="5" s="1"/>
  <c r="K95" i="5"/>
  <c r="O5" i="5"/>
  <c r="O6" i="5"/>
  <c r="F75" i="4"/>
  <c r="E80" i="5"/>
  <c r="F59" i="4"/>
  <c r="E74" i="5"/>
  <c r="Q38" i="3"/>
  <c r="V11" i="3" s="1"/>
  <c r="V12" i="3" s="1"/>
  <c r="F129" i="4"/>
  <c r="E40" i="5"/>
  <c r="E34" i="5"/>
  <c r="F92" i="4"/>
  <c r="F98" i="4"/>
  <c r="F53" i="4"/>
  <c r="F69" i="4"/>
  <c r="O7" i="5" l="1"/>
  <c r="F92" i="5"/>
  <c r="F94" i="5"/>
  <c r="F97" i="5"/>
  <c r="F95" i="5"/>
  <c r="F93" i="5"/>
  <c r="F96" i="5"/>
  <c r="M92" i="5"/>
  <c r="M95" i="5"/>
  <c r="D24" i="1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<sst xmlns="http://schemas.openxmlformats.org/spreadsheetml/2006/main" count="7402" uniqueCount="3454">
  <si>
    <t xml:space="preserve">Document Outlook </t>
  </si>
  <si>
    <t xml:space="preserve">Project </t>
  </si>
  <si>
    <t>Name</t>
  </si>
  <si>
    <t>Mapping and interoperability assessment of existing open-source solutions for Active Consumers</t>
  </si>
  <si>
    <t xml:space="preserve">Partner </t>
  </si>
  <si>
    <t xml:space="preserve">EIFER </t>
  </si>
  <si>
    <t>Contributors</t>
  </si>
  <si>
    <t>Federica Blasioli, Samrat Bose, Yusi Ji</t>
  </si>
  <si>
    <t>Last Update</t>
  </si>
  <si>
    <t>Tasks &amp; Document Description</t>
  </si>
  <si>
    <t>Subtask</t>
  </si>
  <si>
    <t>Title</t>
  </si>
  <si>
    <t>Sheet N.</t>
  </si>
  <si>
    <t>Subtask 2</t>
  </si>
  <si>
    <t>2,3,4</t>
  </si>
  <si>
    <t>Subtask 3</t>
  </si>
  <si>
    <t>Subtask 4</t>
  </si>
  <si>
    <t>Subtask 5</t>
  </si>
  <si>
    <t>Subtask 6</t>
  </si>
  <si>
    <t xml:space="preserve">Interoperability Assessment </t>
  </si>
  <si>
    <t>Subtask 7</t>
  </si>
  <si>
    <t xml:space="preserve">SGAM Architecture </t>
  </si>
  <si>
    <t>Sheet Documentation</t>
  </si>
  <si>
    <t xml:space="preserve">Categories List </t>
  </si>
  <si>
    <t xml:space="preserve">Aplications List </t>
  </si>
  <si>
    <t xml:space="preserve">Applications List by Category and Domain - Demo Sites Data from Interviews - Normalization of Results  </t>
  </si>
  <si>
    <t xml:space="preserve">Priorities List </t>
  </si>
  <si>
    <t>Selection of Prioritized Categories and Applications</t>
  </si>
  <si>
    <t xml:space="preserve">Open Source Tools </t>
  </si>
  <si>
    <t xml:space="preserve">List of open-sorce tools for the prioritized Applications - KPIs </t>
  </si>
  <si>
    <t>Final Normalization</t>
  </si>
  <si>
    <t xml:space="preserve">Demo Sites - Interview Results </t>
  </si>
  <si>
    <t xml:space="preserve">Normalization of results </t>
  </si>
  <si>
    <t>Selection of Normalized Results "Priority Criteria"</t>
  </si>
  <si>
    <t>N.</t>
  </si>
  <si>
    <t>List of Categories</t>
  </si>
  <si>
    <t>Priority</t>
  </si>
  <si>
    <t>NL</t>
  </si>
  <si>
    <t>PT</t>
  </si>
  <si>
    <t>IT</t>
  </si>
  <si>
    <t>BE</t>
  </si>
  <si>
    <t xml:space="preserve">Total </t>
  </si>
  <si>
    <t>&gt;50%</t>
  </si>
  <si>
    <t>50% to 60%</t>
  </si>
  <si>
    <t>60% to 75%</t>
  </si>
  <si>
    <t>above 75%</t>
  </si>
  <si>
    <t>Exception Priority 1</t>
  </si>
  <si>
    <t>Legend for DemoSite selection of Priority</t>
  </si>
  <si>
    <t>Energy Management and Monitoring Tools</t>
  </si>
  <si>
    <t>Priority 1</t>
  </si>
  <si>
    <t>Categories for which an open source tool is a priority to develop / further implementation of what is already in use</t>
  </si>
  <si>
    <t>Energy Distribution Tools</t>
  </si>
  <si>
    <t>Priority 2</t>
  </si>
  <si>
    <t>Categories for which would be interesting to have an open source tool within U2Demo scope</t>
  </si>
  <si>
    <t>Energy Efficiency Tools</t>
  </si>
  <si>
    <t>Priority 3</t>
  </si>
  <si>
    <t>Categories for which it would not be interesting to have a tool / or low priority (for now)</t>
  </si>
  <si>
    <t>Communication and Collaboration Tools</t>
  </si>
  <si>
    <t>Policy and Financial Tools</t>
  </si>
  <si>
    <t>Legend Normalization of Categories's Priority</t>
  </si>
  <si>
    <t>Educational and Outreach Tools</t>
  </si>
  <si>
    <t xml:space="preserve">Priority 1 </t>
  </si>
  <si>
    <t>&gt;75%</t>
  </si>
  <si>
    <t>Environmental Monitoring Tools</t>
  </si>
  <si>
    <t>Maintenance and Safety Tools</t>
  </si>
  <si>
    <r>
      <rPr>
        <sz val="11"/>
        <color theme="1"/>
        <rFont val="Aptos Narrow"/>
        <family val="2"/>
      </rPr>
      <t>≥</t>
    </r>
    <r>
      <rPr>
        <sz val="11"/>
        <color theme="1"/>
        <rFont val="Aptos Narrow"/>
        <family val="2"/>
        <scheme val="minor"/>
      </rPr>
      <t>50%</t>
    </r>
  </si>
  <si>
    <t>Integration with Electric Vehicles (EVs)</t>
  </si>
  <si>
    <t xml:space="preserve">exception with 1  Demo selection Priority 1 </t>
  </si>
  <si>
    <t>Renewable Energy Certificates (RECs) and Carbon Credits</t>
  </si>
  <si>
    <t>categories selected</t>
  </si>
  <si>
    <t>Artificial Intelligence and Machine Learning Tools</t>
  </si>
  <si>
    <t>Decentralized Finance (DeFi) Tools</t>
  </si>
  <si>
    <t>Community Engagement and Participation Tools</t>
  </si>
  <si>
    <t>Resilience and Disaster Recovery Tools</t>
  </si>
  <si>
    <t>Data Analytics and Visualization Tools</t>
  </si>
  <si>
    <t>Regulatory and Compliance Tools</t>
  </si>
  <si>
    <t>Innovative Financing Tools</t>
  </si>
  <si>
    <t>Integration with IoT (Internet of Things)</t>
  </si>
  <si>
    <t>Energy Access Tools (for Off-Grid Communities)</t>
  </si>
  <si>
    <t>Carbon Capture and Storage (CCS) Tools</t>
  </si>
  <si>
    <t>Energy Recovery Tools</t>
  </si>
  <si>
    <t>Community-Based Renewable Energy Certificates (CB-RECs)</t>
  </si>
  <si>
    <t>Energy Sharing Platforms</t>
  </si>
  <si>
    <t>Energy Resilience and Adaptation Tools</t>
  </si>
  <si>
    <t>Energy Access and Equity Tools</t>
  </si>
  <si>
    <t>Energy Education and Training Tools</t>
  </si>
  <si>
    <t>Energy Policy Advocacy Tools</t>
  </si>
  <si>
    <t>Modelling and Simulation</t>
  </si>
  <si>
    <t>Hydrogen Economy Tools</t>
  </si>
  <si>
    <t>Circular Economy Tools</t>
  </si>
  <si>
    <t>Digitalization and Cybersecurity</t>
  </si>
  <si>
    <t>Social Innovation Tools</t>
  </si>
  <si>
    <t>Behavioral Energy Tools</t>
  </si>
  <si>
    <t xml:space="preserve">Settlement and Billing </t>
  </si>
  <si>
    <t>Sum</t>
  </si>
  <si>
    <t>List of Applications implemented in Energy Communities and classified by Categories and Domains</t>
  </si>
  <si>
    <t>Collected Data from Interviews with Demo Sites</t>
  </si>
  <si>
    <t>Normalization of Results: "Tools to be developed" only</t>
  </si>
  <si>
    <t>From "Categories List"</t>
  </si>
  <si>
    <t>Tools already used in DemoSites</t>
  </si>
  <si>
    <t>Tools to be developed in U2Demo</t>
  </si>
  <si>
    <t xml:space="preserve">Technology Criteria </t>
  </si>
  <si>
    <t>Priority Criteria</t>
  </si>
  <si>
    <t>List of Applications (per Category)</t>
  </si>
  <si>
    <t>Definition</t>
  </si>
  <si>
    <t>Comments</t>
  </si>
  <si>
    <t>Domains</t>
  </si>
  <si>
    <t>Category Priority</t>
  </si>
  <si>
    <t>Normalized v.1</t>
  </si>
  <si>
    <t xml:space="preserve">Normalized v.2              (2 maybe necessary) </t>
  </si>
  <si>
    <t>Total</t>
  </si>
  <si>
    <t xml:space="preserve">Legend </t>
  </si>
  <si>
    <t>Operations</t>
  </si>
  <si>
    <t>YES</t>
  </si>
  <si>
    <t xml:space="preserve">Demo Sites are already using the Tools in this application or are intereseted in developing it within U2Demo </t>
  </si>
  <si>
    <t>Smart Meters</t>
  </si>
  <si>
    <t xml:space="preserve"> Provide real-time data on energy consumption and production.</t>
  </si>
  <si>
    <r>
      <t xml:space="preserve">Smart meters are generally proprietary hardware controlled by utilities or large OEMs (e.g., Siemens, Landis+Gyr, Kamstrup). While there are very few open-source hardware solutions, some open-source </t>
    </r>
    <r>
      <rPr>
        <i/>
        <sz val="11"/>
        <color theme="1"/>
        <rFont val="Aptos Narrow"/>
        <family val="2"/>
        <scheme val="minor"/>
      </rPr>
      <t>data collectors</t>
    </r>
    <r>
      <rPr>
        <sz val="11"/>
        <color theme="1"/>
        <rFont val="Aptos Narrow"/>
        <family val="2"/>
        <scheme val="minor"/>
      </rPr>
      <t xml:space="preserve"> (e.g., OpenEnergyMonitor, Volkszähler) can interface with smart meters. However, full-stack open-source smart meters are rare due to regulatory, calibration, and hardware certification constraints. Research relevance lies more in </t>
    </r>
    <r>
      <rPr>
        <i/>
        <sz val="11"/>
        <color theme="1"/>
        <rFont val="Aptos Narrow"/>
        <family val="2"/>
        <scheme val="minor"/>
      </rPr>
      <t>data access protocols</t>
    </r>
    <r>
      <rPr>
        <sz val="11"/>
        <color theme="1"/>
        <rFont val="Aptos Narrow"/>
        <family val="2"/>
        <scheme val="minor"/>
      </rPr>
      <t xml:space="preserve"> (like DLMS/COSEM) and interoperability layers than in the hardware itself.</t>
    </r>
  </si>
  <si>
    <t>Yes</t>
  </si>
  <si>
    <t>No</t>
  </si>
  <si>
    <t>Maybe</t>
  </si>
  <si>
    <t>MAYBE</t>
  </si>
  <si>
    <t>Demo Sites might be intereseted in developing it within U2Demo, but not a priority</t>
  </si>
  <si>
    <t>Community Energy Management Systems (CEMS)</t>
  </si>
  <si>
    <t xml:space="preserve"> Software platforms that optimize energy use and storage.</t>
  </si>
  <si>
    <t>Community energy mangement system is the cornerstone for managing energy in any community and having open source solutions for them will be relevant</t>
  </si>
  <si>
    <t>NO</t>
  </si>
  <si>
    <t xml:space="preserve">Demo Sites are not yet using Tools in this application and are not intereseted in developing it within U2Demo </t>
  </si>
  <si>
    <t>Home Energy Management Systems (HEMS)</t>
  </si>
  <si>
    <t xml:space="preserve"> Allow individual households to monitor and control their energy use.</t>
  </si>
  <si>
    <t>HEMS are typically built on IoT and smart home platforms. There are several open-source frameworks in this space — notably OpenHAB, Home Assistant, and Domoticz, which allow integration of smart plugs, thermostats, solar inverters, and other devices. These tools support automation, energy visualization, and integration with open protocols like MQTT and Zigbee. While commercial HEMS solutions are more plug-and-play, open-source HEMS offer flexibility for research, especially for user behavior modeling, demand-side response, and system interoperability.</t>
  </si>
  <si>
    <t>Demand Response Systems</t>
  </si>
  <si>
    <t xml:space="preserve"> Adjust energy consumption in response to supply conditions or price signals.</t>
  </si>
  <si>
    <t>Open-source solutions for demand response (DR) are emerging primarily in research contexts. Frameworks like RIAPS (Resilient Information Architecture Platform for Smart Grid) and OpenADR (Open Automated Demand Response) provide foundational standards and libraries for implementing DR logic. Some academic projects and simulation platforms like GridLAB-D and PyGridSim also support demand-side modeling. However, real-time, deployable DR systems with open-source end-to-end implementations are limited. OpenADR-compatible software and interoperability modules offer promising ground for research, especially when integrated with HEMS/CEMS.</t>
  </si>
  <si>
    <t>SCADA Systems (Supervisory Control and Data Acquisition)</t>
  </si>
  <si>
    <t xml:space="preserve"> Monitor and control energy infrastructure.</t>
  </si>
  <si>
    <t>SCADA systems are essential for operational control, but most commercial solutions are proprietary. However, several open-source SCADA platforms exist, such as ScadaBR, OpenSCADA, and Ignition (Maker Edition). These allow real-time monitoring, HMI development, and control logic implementation. Open-source SCADA can be used for small-scale deployments or simulations in microgrids. The challenge lies in cybersecurity, device compatibility (e.g., Modbus, OPC), and scalability, but these tools are highly relevant for research in energy community automation.</t>
  </si>
  <si>
    <t>Real-Time Energy Monitoring Platforms</t>
  </si>
  <si>
    <t xml:space="preserve"> Provide live data on energy usage and production for informed decision-making.</t>
  </si>
  <si>
    <t>Several open-source tools are available for real-time monitoring, including OpenEnergyMonitor, EmonCMS, and Grafana when paired with time-series databases like InfluxDB. These platforms support integration with smart meters, IoT devices, and APIs, and can visualize energy production and consumption. Suitable for both residential and community-level setups, they are valuable in research for user feedback systems, behavior analytics, and UI/UX testing.</t>
  </si>
  <si>
    <t>Energy Analytics Platforms</t>
  </si>
  <si>
    <t xml:space="preserve"> Analyze energy data to identify trends, inefficiencies, and optimization opportunities.</t>
  </si>
  <si>
    <t>Energy analytics can be built using open-source stacks like Python (pandas, scikit-learn), Jupyter, and Grafana. Some platforms like Volttron (by PNNL) or Odoo Energy Module also offer specific modules. Analytics layers are often custom-built, making this category highly relevant for research in ML-based forecasting, anomaly detection, and predictive maintenance. Integration with HEMS/CEMS enhances its scope.</t>
  </si>
  <si>
    <t>Energy Performance Benchmarking Tools</t>
  </si>
  <si>
    <t xml:space="preserve"> Compare energy performance across buildings or communities to identify best practices.</t>
  </si>
  <si>
    <t>Smart Grids</t>
  </si>
  <si>
    <t xml:space="preserve"> Advanced electrical grids that use digital communication technology to manage electricity flow efficiently.</t>
  </si>
  <si>
    <t>GridLAB-D, OpenDSS, Pandapower, and PowerModels.jl provide simulation environments for smart grid design, control, and analysis. They are especially useful in research on grid stability, renewable integration, and DER coordination. These tools are crucial for modeling LEMs and evaluating system responses under different control strategies.</t>
  </si>
  <si>
    <t>Peer-to-Peer (P2P) Energy Trading Platforms</t>
  </si>
  <si>
    <t xml:space="preserve"> Enable community members to buy and sell energy directly with each other.</t>
  </si>
  <si>
    <t>P2P trading platforms are a hotbed for innovation. Open-source blockchain-based frameworks like Power Ledger (partial open), Electron, and TRANSAX provide insights into decentralized trading. Research projects like PETra (P2P Energy Trading with Privacy) are promising. Ethereum smart contracts and Hyperledger tools are often used in prototype implementations. Regulation and metering infrastructure remain challenges, but this category is highly relevant for research.</t>
  </si>
  <si>
    <t>Virtual Power Plants (VPPs)</t>
  </si>
  <si>
    <t xml:space="preserve"> Aggregate distributed energy resources to act as a single power plant.</t>
  </si>
  <si>
    <t>Open-source VPP platforms are emerging, such as OpenLEADR, FLEXCoop, and research-led tools built on Volttron. These tools enable demand aggregation, dispatch control, and coordination with DSOs/TSOs. Ideal for research in flexibility markets, grid balancing, and DER optimization.</t>
  </si>
  <si>
    <t>Energy Trading Tool</t>
  </si>
  <si>
    <t xml:space="preserve"> Enables EC managers to participate as an aggregator in the Electricity markets/Flexibility markets etc. </t>
  </si>
  <si>
    <t>PowerLedger, Electron, and Energy Web Chain offer decentralized trading frameworks. Plexos (not fully open) is widely used in market simulations. Research projects like TRANSAX and PETra explore energy trading with privacy mechanisms. Open-source implementations for double-sided energy markets and dynamic auction-based trading are still limited but can be developed using Hyperledger Fabric or Ethereum smart contracts.</t>
  </si>
  <si>
    <t>Distribution Network Operator (DNO) Management Tools</t>
  </si>
  <si>
    <t xml:space="preserve"> Manage and optimize local energy distribution networks.</t>
  </si>
  <si>
    <t>Open-source platforms for DNO operations are scarce, as most tools are proprietary (e.g., Siemens Spectrum, GE ADMS). However, OpenDSS and GridLAB-D allow grid modeling and operational analysis. FLEDGE and PyPSA can simulate network constraints and optimize power flows. DNOs are moving towards DSO-oriented flexibility platforms, making this a relevant research area for interoperability and open standards.</t>
  </si>
  <si>
    <t>Grid Balancing Tools</t>
  </si>
  <si>
    <t xml:space="preserve"> Ensure stable grid operations by balancing supply and demand.</t>
  </si>
  <si>
    <t>OpenBalancing, PyPSA, and Fledge provide tools for balancing mechanisms. OpenLEADR supports demand response and flexibility aggregation. PowerSimulations.jl (part of PowerModels.jl) offers grid optimization models. Research in automated frequency restoration reserves (aFRR) and load-shifting using AI-based forecasting models is gaining traction.</t>
  </si>
  <si>
    <t>Dynamic Pricing Platforms</t>
  </si>
  <si>
    <t xml:space="preserve"> Adjust energy prices based on real-time supply and demand conditions.</t>
  </si>
  <si>
    <t>Open-source solutions for dynamic pricing include OpenADR, which supports real-time pricing signals. PyEPO (Python Energy Pricing Optimization) allows pricing strategy development. Many academic projects simulate real-time tariffs using EnergyPlus, GridLAB-D, and PyPSA. However, real-world open-source deployments are rare, making this a research-heavy field.</t>
  </si>
  <si>
    <t>Energy-Efficient Appliances</t>
  </si>
  <si>
    <t xml:space="preserve"> Appliances that consume less energy (e.g., LED lighting, Energy Star-rated devices).</t>
  </si>
  <si>
    <t>Insulation and Building Envelope Improvements</t>
  </si>
  <si>
    <t xml:space="preserve"> Reduce heating and cooling needs.</t>
  </si>
  <si>
    <t>Heat Pumps</t>
  </si>
  <si>
    <t xml:space="preserve"> Efficiently transfer heat for heating or cooling purposes.</t>
  </si>
  <si>
    <t>CHPs</t>
  </si>
  <si>
    <t xml:space="preserve"> Combined Heat and Power</t>
  </si>
  <si>
    <t>Energy Auditing Tools</t>
  </si>
  <si>
    <t xml:space="preserve"> Software and devices used to assess energy use and identify savings opportunities.</t>
  </si>
  <si>
    <t>Open-source tools like Audit Assistant, OpenEEmeter, and ECO-SEE support energy audits by analyzing consumption data. SEED Platform (by the US DOE) allows structured data analysis for audits. Research opportunities exist in automating audits with IoT, AI-driven anomaly detection, and user-driven energy reporting tools.</t>
  </si>
  <si>
    <t>Building Energy Modeling Tools (e.g., EnergyPlus)</t>
  </si>
  <si>
    <t xml:space="preserve"> Simulate energy performance to optimize building design and operations.</t>
  </si>
  <si>
    <t>Leading open-source tools include EnergyPlus, OpenStudio, Modelica, and IBPSA Framework. These tools support building performance analysis, HVAC simulation, and policy impact assessment. Research focuses on real-time modeling, digital twins for energy forecasting, and AI-assisted design optimization.</t>
  </si>
  <si>
    <t>Retrofit Planning Tools</t>
  </si>
  <si>
    <t xml:space="preserve"> Plan and implement energy-saving upgrades for existing buildings.</t>
  </si>
  <si>
    <t>Communication and Engagement</t>
  </si>
  <si>
    <t>Community Platforms</t>
  </si>
  <si>
    <t xml:space="preserve"> Online platforms for community members to communicate, share information, and coordinate activities.</t>
  </si>
  <si>
    <t>Blockchain Technology (or DLT)</t>
  </si>
  <si>
    <t xml:space="preserve"> Facilitate transparent and secure energy transactions within the community.</t>
  </si>
  <si>
    <t>Ethereum, Hyperledger Fabric, and IOTA have been explored for energy applications, including peer-to-peer energy trading, carbon credit tracking, and grid data security. Energy Web Chain (semi-open) is designed specifically for the energy sector. While blockchain enhances transparency, challenges include scalability, regulatory acceptance, and transaction costs. Research opportunities include optimizing energy-smart contracts, privacy-preserving transactions, and blockchain integration with IoT for demand response.</t>
  </si>
  <si>
    <t>Mobile Apps</t>
  </si>
  <si>
    <t xml:space="preserve"> Provide real-time energy data, alerts, and control options to community members.</t>
  </si>
  <si>
    <t>Open-source mobile energy apps exist but are often part of broader smart home and energy monitoring ecosystems. OpenHAB, Home Assistant, and Domoticz offer mobile interfaces for HEMS. OpenEnergyMonitor has an Android/iOS app for real-time energy tracking. Research areas include behavior-driven UI/UX design, gamification for energy savings, and integration of AI-driven recommendations into energy apps.</t>
  </si>
  <si>
    <t>Governance</t>
  </si>
  <si>
    <t>Crowdfunding Platforms</t>
  </si>
  <si>
    <t xml:space="preserve"> Raise funds for community energy projects.</t>
  </si>
  <si>
    <t>Energy Cooperatives</t>
  </si>
  <si>
    <t xml:space="preserve"> Legal structures that allow community members to collectively own and manage energy assets.</t>
  </si>
  <si>
    <t>Government Grants and Incentives</t>
  </si>
  <si>
    <t xml:space="preserve"> Financial support for renewable energy projects.</t>
  </si>
  <si>
    <t>Power Purchase Agreements (PPAs)</t>
  </si>
  <si>
    <t xml:space="preserve"> Contracts to buy energy at a predetermined price.</t>
  </si>
  <si>
    <t>Green Bonds</t>
  </si>
  <si>
    <t xml:space="preserve"> Finance environmentally friendly energy projects.</t>
  </si>
  <si>
    <t>Energy Performance Contracts (EPCs)</t>
  </si>
  <si>
    <t xml:space="preserve"> Fund energy efficiency projects through savings generated.</t>
  </si>
  <si>
    <t>Community Shares</t>
  </si>
  <si>
    <t xml:space="preserve"> Allow community members to invest in local energy projects.</t>
  </si>
  <si>
    <t>Education</t>
  </si>
  <si>
    <t>Workshops and Training Programs</t>
  </si>
  <si>
    <t xml:space="preserve"> Educate community members about energy efficiency and renewable energy.</t>
  </si>
  <si>
    <t>Public Awareness Campaigns</t>
  </si>
  <si>
    <t xml:space="preserve"> Promote the benefits of community energy projects.</t>
  </si>
  <si>
    <t>Online Courses and Webinars</t>
  </si>
  <si>
    <t xml:space="preserve"> Provide accessible education on energy topics.</t>
  </si>
  <si>
    <t>Simulation Tools for Energy Education</t>
  </si>
  <si>
    <t xml:space="preserve"> Teach energy concepts through interactive models.</t>
  </si>
  <si>
    <t>GridLAB-D, SimSEE, and PyPSA allow energy system simulations. Energy3D (by MIT) is a visual platform for teaching energy concepts. OSEMOSYS and Calliope help students understand energy modeling. Research opportunities exist in developing AI-driven interactive learning models, gamified energy education, and VR-based grid simulations.</t>
  </si>
  <si>
    <t>Gamification Platforms for Energy Savings</t>
  </si>
  <si>
    <t xml:space="preserve"> Encourage energy-saving behaviors through games and rewards.</t>
  </si>
  <si>
    <t>Some open-source solutions, like Open Game Energy Challenge and JouleBug, incorporate gamification for energy savings. OpenHAB and Home Assistant can be customized to introduce energy-saving challenges. Research areas include AI-driven personalized challenges, behavioral analysis of gamification impact, and social competition mechanisms for community energy savings.</t>
  </si>
  <si>
    <t>Technology</t>
  </si>
  <si>
    <t>Air Quality Sensors</t>
  </si>
  <si>
    <t xml:space="preserve"> Monitor the environmental impact of energy generation.</t>
  </si>
  <si>
    <t>Carbon Footprint Calculators</t>
  </si>
  <si>
    <t xml:space="preserve"> Assess the carbon emissions associated with energy use.</t>
  </si>
  <si>
    <r>
      <t xml:space="preserve">Open-source carbon footprint calculators include OpenFootprint, ECAM (Energy and Carbon Assessment and Monitoring tool), and Climatiq API (which provides open emissions data). Many Python-based libraries (e.g., </t>
    </r>
    <r>
      <rPr>
        <sz val="10"/>
        <color theme="1"/>
        <rFont val="Arial Unicode MS"/>
      </rPr>
      <t>pycarbon</t>
    </r>
    <r>
      <rPr>
        <sz val="11"/>
        <color theme="1"/>
        <rFont val="Aptos Narrow"/>
        <family val="2"/>
        <scheme val="minor"/>
      </rPr>
      <t xml:space="preserve">, </t>
    </r>
    <r>
      <rPr>
        <sz val="10"/>
        <color theme="1"/>
        <rFont val="Arial Unicode MS"/>
      </rPr>
      <t>carbonequivalent</t>
    </r>
    <r>
      <rPr>
        <sz val="11"/>
        <color theme="1"/>
        <rFont val="Aptos Narrow"/>
        <family val="2"/>
        <scheme val="minor"/>
      </rPr>
      <t>) allow customized carbon calculations. Research opportunities include automating footprint tracking through IoT, AI-driven recommendations for reducing emissions, and integration with blockchain for verified carbon offsets.</t>
    </r>
  </si>
  <si>
    <t>Weather Forecasting Tools</t>
  </si>
  <si>
    <t xml:space="preserve"> Predict energy generation from renewable sources like solar and wind.</t>
  </si>
  <si>
    <t>WRF (Weather Research and Forecasting Model) and MeteoIO offer advanced climate simulations. PyWeather, ClimPy, and ERA5 datasets (by ECMWF) provide historical and real-time forecasting data. In energy research, these tools are crucial for solar and wind power forecasting, climate-resilient grid planning, and extreme weather impact assessments on energy systems.</t>
  </si>
  <si>
    <t>Environmental Impact Assessment Tools</t>
  </si>
  <si>
    <t xml:space="preserve"> Evaluate the ecological effects of energy projects.</t>
  </si>
  <si>
    <t>OpenLCA, Brightway2, and SimaPro (partial open) facilitate Life Cycle Assessment (LCA) and environmental impact modeling. GRASS GIS and InVEST (Integrated Valuation of Ecosystem Services and Tradeoffs) help analyze land use and biodiversity impacts. Research focuses on automating LCA with AI, real-time impact monitoring, and integrating social sustainability metrics.</t>
  </si>
  <si>
    <t>Biodiversity Monitoring Tools</t>
  </si>
  <si>
    <t xml:space="preserve"> Track the impact of energy systems on local ecosystems.</t>
  </si>
  <si>
    <t>Maintenance &amp; Safety</t>
  </si>
  <si>
    <t>Predictive Maintenance Software</t>
  </si>
  <si>
    <t xml:space="preserve"> Use data analytics to predict and prevent equipment failures.</t>
  </si>
  <si>
    <t>Open-source frameworks like Predictive Maintenance Toolbox (MATLAB open-source version), Scikit-Predictive Maintenance, and MIMOSA OSA-EAI allow asset failure prediction and condition-based monitoring. TensorFlow and PyCaret also support ML-based fault detection. Research gaps include real-time IoT-driven predictive models, edge-computing for maintenance alerts, and automated anomaly detection in SCADA systems.</t>
  </si>
  <si>
    <t>Safety Equipment</t>
  </si>
  <si>
    <t xml:space="preserve"> Ensure safe operation of energy systems (e.g., fire extinguishers, protective gear).</t>
  </si>
  <si>
    <t>Remote Monitoring Tools</t>
  </si>
  <si>
    <t xml:space="preserve"> Allow for real-time monitoring and troubleshooting of energy systems.</t>
  </si>
  <si>
    <t>Zabbix, Nagios, and OpenNMS support real-time remote monitoring with alerts. Prometheus + Grafana is widely used for energy system monitoring. OpenEnergyMonitor offers remote tracking for renewable energy. Research areas include AI-driven anomaly detection, cyber-secure remote monitoring, and self-healing monitoring systems for smart grids.</t>
  </si>
  <si>
    <t>Fault Detection and Diagnostics (FDD) Tools</t>
  </si>
  <si>
    <t xml:space="preserve"> Identify and resolve system issues quickly.</t>
  </si>
  <si>
    <t>Cybersecurity Tools for Energy Systems</t>
  </si>
  <si>
    <t xml:space="preserve"> Protect energy infrastructure from cyber threats.</t>
  </si>
  <si>
    <t>SELinux, Suricata (Intrusion Detection System), and Wireshark help analyze vulnerabilities. Project Aurora (by NREL) provides energy sector-specific cyber resilience frameworks. OpenDNP3 enhances security in SCADA and grid communications. Research focuses on AI-driven threat detection, blockchain for grid security, and quantum-safe encryption for energy networks.</t>
  </si>
  <si>
    <t>EV Charging Stations</t>
  </si>
  <si>
    <t xml:space="preserve"> Provide charging infrastructure for electric vehicles.</t>
  </si>
  <si>
    <t>Vehicle-to-Grid (V2G) Technology</t>
  </si>
  <si>
    <t xml:space="preserve"> Allow EVs to feed energy back into the grid or community energy system.</t>
  </si>
  <si>
    <t>OpenV2G, EVOpenV2G, and the MobilityHouse Open Source V2G SDK, which implement ISO 15118 for bidirectional charging. Research challenges include aggregator-based control models, blockchain-enabled V2G transactions, and AI-driven V2G scheduling for grid stability.</t>
  </si>
  <si>
    <t>EV Fleet Management Software</t>
  </si>
  <si>
    <t xml:space="preserve"> Optimize the use of electric vehicles within the community.</t>
  </si>
  <si>
    <t>Open-source fleet management tools like FMS Standard, OpenFleet, and EV Energy Lab provide analytics, route optimization, and charging management. OpenTripPlanner supports fleet route planning. Research opportunities include AI-based fleet demand forecasting, charging station optimization, and real-time grid-aware fleet dispatching.</t>
  </si>
  <si>
    <t>Smart Charging Algorithms</t>
  </si>
  <si>
    <t xml:space="preserve"> Manage EV charging to balance grid demand.</t>
  </si>
  <si>
    <t>PyEPO (Energy Pricing Optimization) and EVSim model charging strategies. Open Charge Point Protocol (OCPP) facilitates integration with smart chargers. AI-based dynamic pricing models and real-time demand-response charging are key research areas.</t>
  </si>
  <si>
    <t>EV Integration with Renewable Energy Systems</t>
  </si>
  <si>
    <t xml:space="preserve"> Combine EVs with solar or wind energy for sustainable mobility.</t>
  </si>
  <si>
    <t>ReFlex (Renewable &amp; Flexible EV Charging) and SimSES model EV-renewable interactions. PyPSA allows energy system simulations including EV loads. Research focuses on V2G-powered microgrids, AI-based renewable-driven charging, and blockchain-enabled green energy verification.</t>
  </si>
  <si>
    <t>REC Trading Platforms</t>
  </si>
  <si>
    <t xml:space="preserve"> Allow communities to buy and sell certificates representing renewable energy generation.</t>
  </si>
  <si>
    <t>Open-source solutions in this space are limited, as most REC trading platforms are proprietary (e.g., TIGR, M-RETS, I-REC Standard). However, Energy Web Chain provides blockchain-based REC tracking, and OpenXRECs is an emerging open-source initiative. Research areas include blockchain-based certificate validation, automated REC pricing models, and interoperability between REC markets.</t>
  </si>
  <si>
    <t>Carbon Credit Marketplaces</t>
  </si>
  <si>
    <t xml:space="preserve"> Enable communities to offset their carbon emissions by purchasing carbon credits.</t>
  </si>
  <si>
    <t>Open-source projects like Toucan Protocol, Regen Network, and OpenClimate use blockchain for transparent carbon credit tracking. Research areas include automating credit verification with AI, enhancing market transparency using smart contracts, and developing decentralized carbon pricing models.</t>
  </si>
  <si>
    <t>Carbon Offset Platforms</t>
  </si>
  <si>
    <t xml:space="preserve"> Help communities and businesses offset their carbon footprint.</t>
  </si>
  <si>
    <t>AI-Powered Energy Forecasting</t>
  </si>
  <si>
    <t xml:space="preserve"> Predict energy demand and generation patterns.</t>
  </si>
  <si>
    <t>PyCaret, Prophet (by Meta), and TensorFlow enable AI-based forecasting. PyPSA and OpenMod include energy forecasting models. Research areas include deep learning for short-term forecasting, hybrid models combining physical and ML-based forecasting, and explainability in AI-driven energy predictions.</t>
  </si>
  <si>
    <t>Machine Learning Algorithms</t>
  </si>
  <si>
    <t xml:space="preserve"> Optimize energy distribution and storage based on historical data and real-time inputs.</t>
  </si>
  <si>
    <t>scikit-learn, XGBoost, and LightGBM support energy-related ML applications. Specialized libraries like tslearn help with time-series analysis for grid and demand prediction. Research areas include federated learning for privacy-preserving energy analytics, self-learning AI models, and adaptive algorithms for energy markets.</t>
  </si>
  <si>
    <t>AI-Driven Energy Optimization</t>
  </si>
  <si>
    <t xml:space="preserve"> Automate energy management for maximum efficiency.</t>
  </si>
  <si>
    <t>Gurobi (academic version), PuLP, and CVXPY facilitate AI-based optimization in energy systems. RLlib (Reinforcement Learning Library) supports energy optimization models. Research challenges include multi-objective optimization (cost, emissions, stability), real-time AI-based optimization for microgrids, and integration with decentralized energy systems.</t>
  </si>
  <si>
    <t>Anomaly Detection in Energy Systems</t>
  </si>
  <si>
    <t xml:space="preserve"> Identify unusual patterns that may indicate issues.</t>
  </si>
  <si>
    <t>PyOD (Python Outlier Detection), DeepAnT, and Luminol (Time-Series Anomaly Detection) enable anomaly detection. Grafana with Prometheus is widely used for real-time energy monitoring. Research areas include AI-driven SCADA anomaly detection, self-learning models for fault prediction, and cyber-physical anomaly detection for smart grids.</t>
  </si>
  <si>
    <t>AI for Predictive Maintenance</t>
  </si>
  <si>
    <t xml:space="preserve"> Reduce equipment failures through data-driven insights.</t>
  </si>
  <si>
    <t>Predictive Maintenance Toolbox, scikit-predictive, and MIMOSA OSA-EAI provide ML-based failure prediction. TensorFlow and PyTorch support deep learning-based predictive maintenance. Research areas include AI-powered self-healing grids, predictive analytics for renewable assets, and reinforcement learning for maintenance scheduling.</t>
  </si>
  <si>
    <t>Finance</t>
  </si>
  <si>
    <t>Tokenized Energy Assets</t>
  </si>
  <si>
    <t xml:space="preserve"> Represent energy assets (e.g., solar panels, batteries) as digital tokens for easier trading and investment.</t>
  </si>
  <si>
    <t>Energy Web Chain, Toucan Protocol, and Regen Network enable tokenization of energy assets. Ethereum and Hyperledger support smart contract-based asset representation. Research challenges include regulatory barriers, interoperability with existing energy markets, and scalability for high-volume transactions.</t>
  </si>
  <si>
    <t>Smart Contracts</t>
  </si>
  <si>
    <t xml:space="preserve"> Automate energy transactions and agreements within the community.</t>
  </si>
  <si>
    <t xml:space="preserve">Same as Blockchain or DLT as they are part of the same thing. May be we need to remove this category as it will already covered in Blockhain/DLT </t>
  </si>
  <si>
    <t>Decentralized Energy Marketplaces</t>
  </si>
  <si>
    <t xml:space="preserve"> Enable peer-to-peer energy trading without intermediaries.</t>
  </si>
  <si>
    <t>Power Ledger, Electron, and WePower (partially open). Hyperledger Fabric and Ethereum are used in decentralized market pilots. Research gaps include scalable transaction processing, real-time market clearing mechanisms, and privacy-preserving P2P trading frameworks.</t>
  </si>
  <si>
    <t>Energy Token Trading Platforms</t>
  </si>
  <si>
    <t xml:space="preserve"> Facilitate the exchange of energy tokens.</t>
  </si>
  <si>
    <t>Toucan Protocol, Regen Network, and SunContract facilitate energy tokenization and trading. Polkadot and Cosmos provide interoperability for multi-chain energy trading. Research areas include market liquidity solutions for tokenized energy, stablecoin-backed energy credits, and cross-border energy token exchange mechanisms.</t>
  </si>
  <si>
    <t>Surveys and Polls</t>
  </si>
  <si>
    <t xml:space="preserve"> Gather community input on energy projects and priorities.</t>
  </si>
  <si>
    <t>Participatory Budgeting Tools</t>
  </si>
  <si>
    <t xml:space="preserve"> Allow community members to decide how to allocate funds for energy projects.</t>
  </si>
  <si>
    <t>Gamification Platforms</t>
  </si>
  <si>
    <t xml:space="preserve"> Encourage energy-saving behaviors through rewards and competitions.</t>
  </si>
  <si>
    <t>Open Game Energy Challenge and JouleBug (partially open) incorporate gamification for energy efficiency. OpenHAB and Home Assistant allow custom gamified energy-saving challenges. Research opportunities include AI-driven personalized incentives, social leaderboard-based engagement, and psychological impact assessment of gamification in energy savings.</t>
  </si>
  <si>
    <t>Crowdsourcing Platforms for Energy Projects</t>
  </si>
  <si>
    <t xml:space="preserve"> Involve the community in funding and decision-making.</t>
  </si>
  <si>
    <t>Social Network Analysis Tools</t>
  </si>
  <si>
    <t xml:space="preserve"> Understand community dynamics and improve engagement.</t>
  </si>
  <si>
    <t>Goteo and Open Collective enable decentralized crowdfunding for energy projects. EnAccess Foundation provides open tools for energy access projects. Research areas include blockchain-based transparent funding models, AI-driven project matching, and crowdsourced microgrid planning solutions.</t>
  </si>
  <si>
    <t>Microgrid Controllers</t>
  </si>
  <si>
    <t xml:space="preserve"> Ensure continuous energy supply during grid outages.</t>
  </si>
  <si>
    <t>Open-source platforms such as OpenEMS, RIAPS (Resilient Information Architecture Platform for Smart Grid), and OpenMicroGrid provide microgrid control frameworks. PyPSA allows modeling and optimization of microgrids. Research gaps include real-time AI-driven microgrid coordination, blockchain-based microgrid transactions, and multi-agent control strategies for decentralized grids.</t>
  </si>
  <si>
    <t>Backup Generators</t>
  </si>
  <si>
    <t xml:space="preserve"> Provide emergency power during disruptions.</t>
  </si>
  <si>
    <t>Disaster Recovery Plans</t>
  </si>
  <si>
    <t xml:space="preserve"> Prepare for and respond to energy system failures.</t>
  </si>
  <si>
    <t>Climate Resilience Planning Tools</t>
  </si>
  <si>
    <t xml:space="preserve"> Prepare energy systems for climate-related risks.</t>
  </si>
  <si>
    <t>InVEST (Integrated Valuation of Ecosystem Services and Tradeoffs), OpenQuake, and GRASS GIS support climate resilience modeling. EnergyPlus enables building climate adaptation analysis. Research areas include AI-driven climate risk prediction for energy systems, GIS-based infrastructure vulnerability mapping, and scenario planning for resilient energy grids.</t>
  </si>
  <si>
    <t>Energy Storage for Resilience</t>
  </si>
  <si>
    <t xml:space="preserve"> Store energy for use during emergencies.</t>
  </si>
  <si>
    <t>Big Data Platforms</t>
  </si>
  <si>
    <t xml:space="preserve"> Analyze large datasets to optimize energy use and generation.</t>
  </si>
  <si>
    <t>Apache Hadoop, Apache Spark, and Dask are widely used for processing massive energy datasets. TimescaleDB and InfluxDB provide scalable time-series data storage for energy applications. Research areas include real-time streaming analytics for smart grids, distributed computing for energy forecasting, and machine learning-driven big data processing.</t>
  </si>
  <si>
    <t>GIS (Geographic Information Systems)</t>
  </si>
  <si>
    <t xml:space="preserve"> Map and analyze spatial data related to energy resources and infrastructure.</t>
  </si>
  <si>
    <t>Energy Dashboards</t>
  </si>
  <si>
    <t xml:space="preserve"> Visualize energy data for better decision-making.</t>
  </si>
  <si>
    <t>Similar to Climate Dashboard mentioned above. i beleive we can also merge it to the above Climate Dashboards. Grafana, Home Assistant, and OpenEnergyMonitor provide customizable visualizations for energy data. Dash (Plotly) and Streamlit support interactive web-based energy analytics. Research focuses on user-centric dashboard designs, AI-enhanced energy insights, and automated anomaly detection in energy dashboards.</t>
  </si>
  <si>
    <t>Data Visualization Tools (e.g., Tableau, Grafana)</t>
  </si>
  <si>
    <t xml:space="preserve"> Create visual representations of energy data.</t>
  </si>
  <si>
    <t>Grafana, Apache Superset, and Matplotlib (Python) enable dynamic energy data representation. D3.js and Plotly support web-based interactive energy analytics. Research areas include 3D energy visualizations, geospatial energy mapping, and real-time energy event detection through visualization.</t>
  </si>
  <si>
    <t>Time-Series Data Analysis Tools</t>
  </si>
  <si>
    <t xml:space="preserve"> Analyze trends in energy usage and production.</t>
  </si>
  <si>
    <t>Pandas (Python), Prophet (Meta), Statsmodels, and TSFresh enable time-series energy analysis. InfluxDB and TimescaleDB provide scalable time-series storage. Research opportunities include deep learning for energy demand forecasting, self-adaptive time-series models, and real-time energy consumption trend detection.</t>
  </si>
  <si>
    <t>Compliance Management Software</t>
  </si>
  <si>
    <t xml:space="preserve"> Ensure that energy projects meet local, national, and international regulations.</t>
  </si>
  <si>
    <t>Odoo Compliance Module for policy management, and GRCS for governance, risk, and compliance tracking. Apache Ranger provides data security compliance for energy data governance.</t>
  </si>
  <si>
    <t>Permitting Tools</t>
  </si>
  <si>
    <t xml:space="preserve"> Streamline the process of obtaining necessary permits for energy projects.</t>
  </si>
  <si>
    <t>Regulatory Reporting Platforms</t>
  </si>
  <si>
    <t xml:space="preserve"> Simplify reporting to authorities.</t>
  </si>
  <si>
    <t>Pay-As-You-Save (PAYS) Schemes</t>
  </si>
  <si>
    <t xml:space="preserve"> Fund energy upgrades through future savings.</t>
  </si>
  <si>
    <t>Energy Service Company (ESCO) Models</t>
  </si>
  <si>
    <t xml:space="preserve"> Provide energy solutions through performance-based contracts.</t>
  </si>
  <si>
    <t>Emerging Innovation</t>
  </si>
  <si>
    <t>IoT Sensors</t>
  </si>
  <si>
    <t xml:space="preserve"> Monitor and control energy systems in real-time.</t>
  </si>
  <si>
    <t>Smart Thermostats</t>
  </si>
  <si>
    <t xml:space="preserve"> Optimize heating and cooling based on occupancy and weather conditions.</t>
  </si>
  <si>
    <t>Connected Devices</t>
  </si>
  <si>
    <t xml:space="preserve"> Enable seamless communication between different energy systems and devices.</t>
  </si>
  <si>
    <t>IoT Platforms for Energy Management</t>
  </si>
  <si>
    <t xml:space="preserve"> Integrate IoT devices for centralized control.</t>
  </si>
  <si>
    <t>ThingsBoard, Eclipse Kura, and OpenRemote provide energy monitoring and automation capabilities. EdgeX Foundry supports industrial IoT use cases. Research focuses on scalable edge-to-cloud IoT architectures, blockchain-based IoT security, and machine learning-driven energy optimization through IoT.</t>
  </si>
  <si>
    <t>Edge Computing for Energy Systems</t>
  </si>
  <si>
    <t xml:space="preserve"> Process data locally for faster decision-making.</t>
  </si>
  <si>
    <t>LF Edge (Linux Foundation Edge), Fledge, and EdgeX Foundry support edge computing for energy analytics. Eclipse Kura enables edge IoT processing. Research challenges include real-time AI at the edge for energy optimization, cyber-resilience in edge-based grids, and lightweight edge AI models for renewable integration.</t>
  </si>
  <si>
    <t>Access &amp; Equity</t>
  </si>
  <si>
    <t>Solar Home Systems</t>
  </si>
  <si>
    <t xml:space="preserve"> Provide basic electricity to households in off-grid areas.</t>
  </si>
  <si>
    <t>Open Solar, SolarPower Europe’s Digital Toolbox, and MERCADO provide design and simulation tools for solar home systems. HOMER Energy (free for academia) and Oemof support solar PV system modeling. Research areas include AI-driven PV performance forecasting, blockchain-based solar credit trading, and optimized battery management for standalone solar systems.</t>
  </si>
  <si>
    <t>Mini-Grids</t>
  </si>
  <si>
    <t xml:space="preserve"> Small-scale grids that provide electricity to localized areas.</t>
  </si>
  <si>
    <t>Open Energy Modelling Framework (Oemof), Microgrid Decision Support Tool (MDST), and OpenMicroGrid enable simulation and management of mini-grids. PyPSA supports modeling mini-grid energy flows. Research areas include AI-enhanced mini-grid stability, demand-side management in mini-grids, and blockchain-enabled P2P energy trading within mini-grids.</t>
  </si>
  <si>
    <t>Portable Energy Solutions</t>
  </si>
  <si>
    <t xml:space="preserve"> Provide temporary or mobile energy solutions (e.g., solar lanterns, portable batteries).</t>
  </si>
  <si>
    <t>Pay-As-You-Go (PAYG) Energy Systems</t>
  </si>
  <si>
    <t xml:space="preserve"> Make energy affordable through small payments.</t>
  </si>
  <si>
    <t>Energy Kiosks</t>
  </si>
  <si>
    <t xml:space="preserve"> Provide charging and energy services in rural areas.</t>
  </si>
  <si>
    <t>Carbon Capture Systems</t>
  </si>
  <si>
    <t xml:space="preserve"> Capture CO2 emissions from energy generation.</t>
  </si>
  <si>
    <t>Carbon Storage Solutions</t>
  </si>
  <si>
    <t xml:space="preserve"> Store captured CO2 underground or in other long-term storage solutions.</t>
  </si>
  <si>
    <t>Carbon Utilization Platforms</t>
  </si>
  <si>
    <t xml:space="preserve"> Convert CO2 into useful products.</t>
  </si>
  <si>
    <t>CO2MPAS (European CO₂ monitoring platform) and Brightway2 support carbon utilization modeling. OpenLCA provides life cycle assessment (LCA) tools to assess CO₂ reuse impacts. Research areas include AI-driven CO₂ conversion process optimization, blockchain-enabled carbon credit tracking, and economic modeling of CO₂ utilization pathways.</t>
  </si>
  <si>
    <t>Direct Air Capture (DAC) Technologies</t>
  </si>
  <si>
    <t xml:space="preserve"> Remove CO2 directly from the atmosphere.</t>
  </si>
  <si>
    <t>Waste-to-Energy Systems</t>
  </si>
  <si>
    <t xml:space="preserve"> Convert municipal waste into energy.</t>
  </si>
  <si>
    <t>Heat Recovery Systems</t>
  </si>
  <si>
    <t xml:space="preserve"> Capture and reuse waste heat from industrial processes.</t>
  </si>
  <si>
    <t>THERM (for building heat transfer analysis), EnergSys (for industrial energy efficiency), and OpenModelica support heat recovery simulations. RETScreen enables feasibility analysis of waste heat utilization. Research areas include AI-enhanced heat recovery control, thermal energy storage integration, and economic modeling of heat-to-power conversion.</t>
  </si>
  <si>
    <t>Energy Harvesting Technologies</t>
  </si>
  <si>
    <t xml:space="preserve"> Generate energy from ambient sources.</t>
  </si>
  <si>
    <t>Anaerobic Digestion Systems</t>
  </si>
  <si>
    <t xml:space="preserve"> Produce biogas from organic waste.</t>
  </si>
  <si>
    <t>CB-REC Platforms</t>
  </si>
  <si>
    <t xml:space="preserve"> Allow communities to issue and trade renewable energy certificates specific to their local projects.</t>
  </si>
  <si>
    <t>Energy Web Chain, OpenXRECs, and Regen Network support blockchain-based REC trading. Most traditional REC platforms are proprietary (e.g., I-REC, M-RETS). Research areas include decentralized certificate validation, peer-to-peer REC marketplaces, and automated REC issuance via smart contracts.</t>
  </si>
  <si>
    <t>Energy Sharing Apps</t>
  </si>
  <si>
    <t xml:space="preserve"> Enable community members to share excess energy with neighbors.</t>
  </si>
  <si>
    <t>Same as that of Mobile apps</t>
  </si>
  <si>
    <t>Community Solar Gardens</t>
  </si>
  <si>
    <t xml:space="preserve"> Allow multiple households to share the benefits of a single solar installation.</t>
  </si>
  <si>
    <t>Energy Pooling Platforms</t>
  </si>
  <si>
    <t xml:space="preserve"> Aggregate energy resources for shared use.</t>
  </si>
  <si>
    <t>Oemof (Open Energy Modelling Framework), FlexiDAO, and ReFlex (Renewable &amp; Flexible Energy Sharing). PyPSA models energy system pooling strategies. Research areas include AI-based dynamic pooling strategies, blockchain-enhanced transparency in energy pooling, and multi-agent optimization for resource aggregation.</t>
  </si>
  <si>
    <t>Prosumer Aggregation Tools</t>
  </si>
  <si>
    <t xml:space="preserve"> Combine energy production and consumption for optimization.</t>
  </si>
  <si>
    <t>FlexiDAO, Energy Web Foundation’s Decentralized Energy Exchange, and OpenLEADR enable prosumer aggregation. Volttron (by PNNL) allows for intelligent load aggregation. Research focuses on AI-driven predictive aggregation models, distributed ledger-based verification of prosumer transactions, and automated incentives for demand flexibility.</t>
  </si>
  <si>
    <t>Adaptive Energy Management Systems</t>
  </si>
  <si>
    <t xml:space="preserve"> Adjust energy use based on changing conditions.</t>
  </si>
  <si>
    <t>OpenEMS, Volttron, and Odoo Energy Management Module support adaptive energy optimization. PyPSA enables scenario-based adaptive control. Research areas include self-learning adaptive energy systems, integration with AI-driven weather forecasting, and real-time grid-responsive energy management.</t>
  </si>
  <si>
    <t>Resilience Metrics and Assessment Tools</t>
  </si>
  <si>
    <t xml:space="preserve"> Evaluate the resilience of energy systems.</t>
  </si>
  <si>
    <t>Energy Equity Platforms</t>
  </si>
  <si>
    <t xml:space="preserve"> Ensure fair access to energy resources for all community members.</t>
  </si>
  <si>
    <t>Energy Justice Lab, Open Energy Access, and OSeMOSYS provide models for equitable energy distribution. GIS-based tools like QGIS enable spatial analysis of energy access gaps. Research areas include AI-driven equitable energy pricing, blockchain-based energy credit distribution, and community-driven decentralized energy equity solutions.</t>
  </si>
  <si>
    <t>Subsidy Management Systems</t>
  </si>
  <si>
    <t xml:space="preserve"> Manage subsidies and financial assistance for low-income households.</t>
  </si>
  <si>
    <t>Energy Poverty Alleviation Tools</t>
  </si>
  <si>
    <t xml:space="preserve"> Address energy affordability and access issues.</t>
  </si>
  <si>
    <t>EnAccess Foundation, Mini-Grid Support Toolkit, and Lighting Global provide tools for energy poverty solutions. HOMER Energy (free for academic use) supports rural electrification modeling. Research focuses on low-cost solar microfinance models, community-driven peer-to-peer energy sharing, and AI-driven rural energy access optimization.</t>
  </si>
  <si>
    <t>Community-Based Energy Access Programs</t>
  </si>
  <si>
    <t xml:space="preserve"> Provide localized energy solutions.</t>
  </si>
  <si>
    <t>Open Energy Modelling Framework (Oemof), Reiner Lemoine Institute’s energy access tools, and FlexiDAO facilitate community-based energy planning. Research gaps include governance models for community energy, AI-assisted cooperative energy management, and blockchain-based trust mechanisms for local energy exchanges.</t>
  </si>
  <si>
    <t>Simulation Tools</t>
  </si>
  <si>
    <t xml:space="preserve"> Allow community members to simulate the impact of different energy strategies.</t>
  </si>
  <si>
    <t>Anylogic Personal edition, EnergyPlus, OpenModelica, PyPSA, and GridLAB-D allow simulation of energy generation, consumption, and market scenarios. SimSEE supports energy policy simulation. Research areas include AI-driven scenario-based energy modeling, digital twins for real-time energy system simulations, and automated decision-support systems.</t>
  </si>
  <si>
    <t>Energy Literacy Platforms</t>
  </si>
  <si>
    <t xml:space="preserve"> Improve understanding of energy systems.</t>
  </si>
  <si>
    <t>Virtual Reality (VR) Training for Energy Systems</t>
  </si>
  <si>
    <t xml:space="preserve"> Provide immersive learning experiences.</t>
  </si>
  <si>
    <t>Policy Analysis Software</t>
  </si>
  <si>
    <t xml:space="preserve"> Analyze the impact of energy policies on the community.</t>
  </si>
  <si>
    <t>OSeMOSYS, TIMES Model, and Energy Policy Simulator support energy policy modeling. LEAP (Long-range Energy Alternatives Planning System) offers policy assessment capabilities. Research focuses on AI-driven predictive policy modeling, blockchain-based regulatory compliance tracking, and automated scenario analysis for policy impacts.</t>
  </si>
  <si>
    <t>Advocacy Platforms</t>
  </si>
  <si>
    <t xml:space="preserve"> Mobilize community members to advocate for supportive energy policies.</t>
  </si>
  <si>
    <t>Stakeholder Engagement Tools</t>
  </si>
  <si>
    <t xml:space="preserve"> Facilitate collaboration among policymakers, communities, and businesses.</t>
  </si>
  <si>
    <t>CONSUL, Decidim, and Loomio support participatory decision-making for energy governance. Open Energy Modelling Framework (Oemof) enables data-driven stakeholder engagement in energy planning. Research areas include AI-powered stakeholder sentiment analysis, gamification in energy policy engagement, and decentralized community-driven decision-making.</t>
  </si>
  <si>
    <t>Policy Impact Assessment Tools</t>
  </si>
  <si>
    <t xml:space="preserve"> Measure the effects of energy policies.</t>
  </si>
  <si>
    <t>Energy Policy Simulator, OpenLCA, and SimaPro (partially open) enable impact assessments. GRASS GIS helps map policy-driven energy changes. Research areas include real-time AI-driven policy tracking, blockchain for transparent impact reporting, and automated simulations for policy effectiveness evaluation.</t>
  </si>
  <si>
    <t>DSO level modelling</t>
  </si>
  <si>
    <t xml:space="preserve"> Power and energy supply, collective flexibility, self consumption, energy sharing and participation in Electricity Markets</t>
  </si>
  <si>
    <t>OpenDSS, GridLAB-D, and PyPSA support DSO-level grid modeling, optimization, and load flow analysis. PowerModelsDistribution.jl helps in modeling distribution network operations. Research areas include AI-driven DSO optimization, blockchain-based decentralized grid control, and real-time grid congestion forecasting.</t>
  </si>
  <si>
    <t>Community level Modelling</t>
  </si>
  <si>
    <t xml:space="preserve"> Local energy markets, peer-to-peer trading, sector coupling, local demand response, flexibility</t>
  </si>
  <si>
    <t>Oemof (Open Energy Modelling Framework), ReFlex, and OpenMicroGrid support community energy modeling. PyPSA-Eur is used for regional and local energy systems. Research focuses on AI-driven community energy forecasting, blockchain-based P2P energy trading, and multi-agent energy optimization models.</t>
  </si>
  <si>
    <t>Individual Unit modelling</t>
  </si>
  <si>
    <t xml:space="preserve"> Modelling of households and equipments, energy management systems, self-consumption</t>
  </si>
  <si>
    <t>EnergyPlus, OpenStudio, and BEopt enable building-level energy modeling. Modelica provides component-based simulation for individual energy systems. Research areas include AI-assisted smart home energy management, digital twins for unit-level energy forecasting, and optimization of demand-side management strategies.</t>
  </si>
  <si>
    <t>Energy System Simulation Tools (e.g., HOMER, PLEXOS)</t>
  </si>
  <si>
    <t xml:space="preserve"> Model and optimize energy systems.</t>
  </si>
  <si>
    <t>PyPSA, OSeMOSYS, and Calliope provide energy system modeling and simulation capabilities. HOMER (free for academia) supports microgrid and renewable energy system simulation. Research areas include AI-driven energy system optimization, blockchain-enabled energy market simulations, and multi-objective scenario planning for grid stability.</t>
  </si>
  <si>
    <t>Scenario Analysis Tools</t>
  </si>
  <si>
    <t xml:space="preserve"> Explore different energy futures and their impacts.</t>
  </si>
  <si>
    <t>Anylogic, EnergyPolicySimulator, OSeMOSYS, and TIMES Model allow energy scenario simulations. PyPSA and Calliope help optimize different energy transition pathways.</t>
  </si>
  <si>
    <t>Collaborative Decision-Making Platforms</t>
  </si>
  <si>
    <t xml:space="preserve"> Support collective decision-making for community energy projects.</t>
  </si>
  <si>
    <t>Decidim, CONSUL, and Loomio enable collaborative energy governance. Open Energy Modelling Framework (Oemof) allows data-driven decision-making for energy projects.</t>
  </si>
  <si>
    <t>Digital Twins for Community Energy Systems</t>
  </si>
  <si>
    <t xml:space="preserve"> Create virtual replicas of energy systems for simulation and optimization.</t>
  </si>
  <si>
    <t>Hydrogen Production and Storage Systems</t>
  </si>
  <si>
    <t>Hydrogen Fuel Cell Integration</t>
  </si>
  <si>
    <t>Hydrogen Trading Platforms</t>
  </si>
  <si>
    <t>Open-source solutions for hydrogen trading are limited, as most platforms are proprietary. However, HyChain (under development) explores blockchain-based hydrogen trading. H2Sim enables hydrogen system modeling.</t>
  </si>
  <si>
    <t>Resource Recovery Platforms</t>
  </si>
  <si>
    <t>Circular Supply Chain Management Tools</t>
  </si>
  <si>
    <t>Digital Twins for Energy Systems</t>
  </si>
  <si>
    <t>GreyCat, Digital Twin Consortium Open Source Tools, and CityGML Energy ADE support digital twin development. EnergyPlus and Modelica allow energy system simulations.</t>
  </si>
  <si>
    <t>Cybersecurity Frameworks for Energy Communities</t>
  </si>
  <si>
    <t>SELinux, Suricata (Intrusion Detection System), and Wireshark help secure energy communities. OpenDNP3 enhances security for energy communication protocols.</t>
  </si>
  <si>
    <t>Social Innovation and Behavior</t>
  </si>
  <si>
    <t>Social Impact Assessment Tools</t>
  </si>
  <si>
    <t>OpenLCA, SimaPro (partially open), and SoPact Impact Cloud (open-access modules) facilitate social impact assessments. GRASS GIS supports geospatial social impact analysis.</t>
  </si>
  <si>
    <t>Community Co-Design Platforms</t>
  </si>
  <si>
    <t>Nudge Theory Applications</t>
  </si>
  <si>
    <t>Behavioral Analytics for Energy Savings</t>
  </si>
  <si>
    <t>Automated Billing Platforms (Dynamic pricing Billing systems)</t>
  </si>
  <si>
    <t>Generate invoices based on real-time energy data.</t>
  </si>
  <si>
    <t>DLT (Blockchain)-Based Settlement Platforms</t>
  </si>
  <si>
    <t>Use smart contracts for automated, transparent energy transactions.</t>
  </si>
  <si>
    <t>Virtual Net Metering Software</t>
  </si>
  <si>
    <t>Allocate credits for shared renewable energy systems (e.g., community solar</t>
  </si>
  <si>
    <t>Audit &amp; Reporting Software</t>
  </si>
  <si>
    <t>Generate reports for regulators or internal governance</t>
  </si>
  <si>
    <t>Peer-to-Peer (P2P) Energy Trading &amp; Settlement</t>
  </si>
  <si>
    <t>Open-source simulation platform for P2P energy markets (useful for testing trading algorithms)</t>
  </si>
  <si>
    <t>Dispute Resolution</t>
  </si>
  <si>
    <t>Resolve billing discrepancies using AI-driven analysis</t>
  </si>
  <si>
    <t>List of Prioritized Categories and Applications</t>
  </si>
  <si>
    <t>Normalization of all  Results from Demo Sites: "Tools to be developed" only</t>
  </si>
  <si>
    <t>Technology Criteria</t>
  </si>
  <si>
    <t>all Categories</t>
  </si>
  <si>
    <t>only  Categories with Prioriy 1 &amp; 2</t>
  </si>
  <si>
    <t>Domain</t>
  </si>
  <si>
    <t xml:space="preserve">Category </t>
  </si>
  <si>
    <t>Open Source Tool Name</t>
  </si>
  <si>
    <t>Developer</t>
  </si>
  <si>
    <t>Project - if any</t>
  </si>
  <si>
    <t>Core Functionality</t>
  </si>
  <si>
    <t>Programming Language</t>
  </si>
  <si>
    <t>Maintenance &amp; Updates</t>
  </si>
  <si>
    <t>Interoperability</t>
  </si>
  <si>
    <t>Cost</t>
  </si>
  <si>
    <t>License Type</t>
  </si>
  <si>
    <t>Ease of Use</t>
  </si>
  <si>
    <t>Community Support</t>
  </si>
  <si>
    <t>Environmental Impact</t>
  </si>
  <si>
    <t>Key Features</t>
  </si>
  <si>
    <t>Use Cases</t>
  </si>
  <si>
    <t>Limitations</t>
  </si>
  <si>
    <t>Github Link</t>
  </si>
  <si>
    <t>Website</t>
  </si>
  <si>
    <t>Remarks</t>
  </si>
  <si>
    <t>Year since inception</t>
  </si>
  <si>
    <t>GridLAB-D</t>
  </si>
  <si>
    <t xml:space="preserve"> U.S. Department of Energy (DOE)</t>
  </si>
  <si>
    <t>GridAPPS-D</t>
  </si>
  <si>
    <t>Smart Grid Design</t>
  </si>
  <si>
    <t>MATLAB</t>
  </si>
  <si>
    <t>Occasionally updated</t>
  </si>
  <si>
    <t>FNCS, REST API</t>
  </si>
  <si>
    <t>Free</t>
  </si>
  <si>
    <t>BSD 3-Clause License</t>
  </si>
  <si>
    <t>Moderate to Advanced – requires scripting and understanding of power systems modeling.</t>
  </si>
  <si>
    <t>Moderate – technically strong but niche user base, with GitHub and mailing list support</t>
  </si>
  <si>
    <t>support power distribution</t>
  </si>
  <si>
    <t xml:space="preserve">power distribution system simulation and analysis tool, , Distributed Generation and Storage, </t>
  </si>
  <si>
    <t>Smart Grid Design, Peak Load Management, Rate Structure Analysis</t>
  </si>
  <si>
    <t>Integration complexity, Smaller community support</t>
  </si>
  <si>
    <t>https://github.com/gridlab-d/gridlab-d</t>
  </si>
  <si>
    <t>https://www.gridlabd.org/</t>
  </si>
  <si>
    <t xml:space="preserve"> Mosaik</t>
  </si>
  <si>
    <t>OFFIS</t>
  </si>
  <si>
    <t>ERIGrid</t>
  </si>
  <si>
    <t>Smart Grid Simulation</t>
  </si>
  <si>
    <t>Python</t>
  </si>
  <si>
    <t>Actively maintained</t>
  </si>
  <si>
    <t xml:space="preserve"> FMI, REST APIs</t>
  </si>
  <si>
    <t>LGPL</t>
  </si>
  <si>
    <t>Moderate to advanced</t>
  </si>
  <si>
    <t>Academic-oriented community, active GitLab and documentation</t>
  </si>
  <si>
    <t>enabling simulation of energy-efficient smart grid solutions</t>
  </si>
  <si>
    <t>reuse and combine existing simulation models and simulators to create large-scale Smart Grid scenarios</t>
  </si>
  <si>
    <t xml:space="preserve"> test bed for various types of control strategies</t>
  </si>
  <si>
    <t>Not suitable for real-time control</t>
  </si>
  <si>
    <t>https://gitlab.com/mosaik/mosaik</t>
  </si>
  <si>
    <t>https://mosaik.offis.de/</t>
  </si>
  <si>
    <t xml:space="preserve">
ERIGrid 2.0</t>
  </si>
  <si>
    <t>European Union’s Horizon 2020 research and innovation programme</t>
  </si>
  <si>
    <t xml:space="preserve"> Validation and testing of smart grid systems</t>
  </si>
  <si>
    <t>Supports co-simulation, Hardware-in-the-Loop (HIL), and integration with tools like mosaik</t>
  </si>
  <si>
    <t>Apache-2.0</t>
  </si>
  <si>
    <t>Advanced (requires expertise in power systems, ICT, and simulation tools)</t>
  </si>
  <si>
    <t>Strong academic and research network across Europe</t>
  </si>
  <si>
    <t>facilitates integration of renewable energy sources and enhances grid flexibility</t>
  </si>
  <si>
    <t>Holistic system validation approach, Enhancement of HIL and co-simulation methodologies</t>
  </si>
  <si>
    <t xml:space="preserve"> Validation of smart grid components and systems, Standardization and interoperability testing</t>
  </si>
  <si>
    <t>Access primarily for research purposes</t>
  </si>
  <si>
    <t>https://github.com/ERIGrid2/k8s-netem</t>
  </si>
  <si>
    <t>https://erigrid2.eu/</t>
  </si>
  <si>
    <t>EnergySwap</t>
  </si>
  <si>
    <t>EmperorRP</t>
  </si>
  <si>
    <t>Decentralized P2P energy trading platform using blockchain</t>
  </si>
  <si>
    <t>Very limited</t>
  </si>
  <si>
    <t>Web3 interfaces / JSON-RPC</t>
  </si>
  <si>
    <t>MPL 2.0</t>
  </si>
  <si>
    <t>Moderate to Advanced – Requires understanding of blockchain deployment and smart contracts</t>
  </si>
  <si>
    <t>Ethereum may have high energy use</t>
  </si>
  <si>
    <t>Transparency and immutability via blockchain</t>
  </si>
  <si>
    <t>Local energy exchange in microgrids</t>
  </si>
  <si>
    <t>Not production-ready, No user interface or end-to-end solution</t>
  </si>
  <si>
    <t>https://github.com/EmperorRP/EnergySwap</t>
  </si>
  <si>
    <t>REScoopVPP</t>
  </si>
  <si>
    <t>Virtual Power Plant operation</t>
  </si>
  <si>
    <t>Archived</t>
  </si>
  <si>
    <t>OpenADR, MQTT, and REST APIs</t>
  </si>
  <si>
    <t>MIT</t>
  </si>
  <si>
    <t>Moderate</t>
  </si>
  <si>
    <t>Moderate community engagement on GitLab</t>
  </si>
  <si>
    <t>support decentralized renewable energy systems and citizen participation</t>
  </si>
  <si>
    <t>community-driven virtual power plant, include hardware and software solutions</t>
  </si>
  <si>
    <t>Community-driven virtual power plant operations</t>
  </si>
  <si>
    <t>Project ended</t>
  </si>
  <si>
    <t>https://gitlab.com/rescoopvpp/rescode</t>
  </si>
  <si>
    <t>https://www.rescoopvpp.eu/</t>
  </si>
  <si>
    <t>Pyosch/vpplib</t>
  </si>
  <si>
    <t>Pyosch</t>
  </si>
  <si>
    <t>Analyze DER's collective behavior and performance</t>
  </si>
  <si>
    <t>Frequently updated</t>
  </si>
  <si>
    <t>Python-based architecture, No direct support for industry-standard protocols (e.g., MQTT, Modbus)</t>
  </si>
  <si>
    <t>GPL-3.0</t>
  </si>
  <si>
    <t>Moderate to Advanced</t>
  </si>
  <si>
    <t>Active Github</t>
  </si>
  <si>
    <t>Serves as a simulation tool to aid in the design of efficient and sustainable energy systems</t>
  </si>
  <si>
    <t>Modular simulation of diverse DERs</t>
  </si>
  <si>
    <t>Academic research on VPP configurations and performance, Educational tool for understanding DER integration, Testing and validation of energy management strategies</t>
  </si>
  <si>
    <t>Lack of GUI, Not intended for real-time control or deployment</t>
  </si>
  <si>
    <t>https://github.com/Pyosch/vpplib</t>
  </si>
  <si>
    <t>Dynamic Pricing Platform</t>
  </si>
  <si>
    <t>Power TAC (Power Trading Agent Competition)</t>
  </si>
  <si>
    <t>Smart Charging and Virtual Power Plants</t>
  </si>
  <si>
    <t>model retail electricity markets</t>
  </si>
  <si>
    <t>Java</t>
  </si>
  <si>
    <t>Java-based APIs, Modular architecture for simulation plug-ins</t>
  </si>
  <si>
    <t>Active Github and website contact</t>
  </si>
  <si>
    <t>Tool is used to simulate scenarios that support energy efficiency and sustainability research</t>
  </si>
  <si>
    <t>simulate real-time retail electricity trading behaviour</t>
  </si>
  <si>
    <t>Customer Behavior Using Dynamic Pricing, Autonomous Retail Electricity Trading, Electric Vehicle Charging Behaviour and EV Fleet Operations</t>
  </si>
  <si>
    <t>Primarily a research tool, limited real-world deployment</t>
  </si>
  <si>
    <t>https://powertac.org/</t>
  </si>
  <si>
    <t>POMATO (Power Market Tool)</t>
  </si>
  <si>
    <t>comprehensive analysis of the modern electricity market</t>
  </si>
  <si>
    <t>Interfaces with Pyomo, pandas, NumPy</t>
  </si>
  <si>
    <t>Inactive, Limited general user community but sufficient for advanced users</t>
  </si>
  <si>
    <t>Helps design and optimize more efficient electricity markets</t>
  </si>
  <si>
    <t xml:space="preserve">Python-based optimization framework, Integration with real-world power system data
</t>
  </si>
  <si>
    <t>Simulating energy market operations, Modeling power system behavior under various market designs</t>
  </si>
  <si>
    <t>No maintenance</t>
  </si>
  <si>
    <t>https://github.com/richard-weinhold/pomato</t>
  </si>
  <si>
    <t>https://pomato.readthedocs.io/en/latest/</t>
  </si>
  <si>
    <t xml:space="preserve"> AMIRIS</t>
  </si>
  <si>
    <t>German Aerospace Center (DLR)</t>
  </si>
  <si>
    <t>Agent-based simulation of electricity market operations</t>
  </si>
  <si>
    <t>Frequently updated, active academic/research user base</t>
  </si>
  <si>
    <t>Limited, designed for research simulations with Java/XML interfaces but not plug-and-play with external systems</t>
  </si>
  <si>
    <t>Moderate to advanced – requires Java setup, understanding of energy market models</t>
  </si>
  <si>
    <t>Actively maintained, regular updates in GitLab, acitve open forum</t>
  </si>
  <si>
    <t>supports simulation of systems that enable higher RES penetration</t>
  </si>
  <si>
    <t>Modular agent framework, Day-ahead, intraday, and balancing market simulation</t>
  </si>
  <si>
    <t>Energy system modeling, Market design evaluation, Policy impact analysis for renewable integration</t>
  </si>
  <si>
    <t>Requires Java expertise, Limited integration with real-world energy devices or protocols</t>
  </si>
  <si>
    <t>https://gitlab.com/dlr-ve/esy/amiris/amiris</t>
  </si>
  <si>
    <t>https://helmholtz.software/software/amiris</t>
  </si>
  <si>
    <t>Grid Singularity (d3a.io)</t>
  </si>
  <si>
    <t xml:space="preserve">
Grid Singularity</t>
  </si>
  <si>
    <t>Blockchain-based energy data exchange and grid simulation platform</t>
  </si>
  <si>
    <t>Based on Ethereum and Energy Web Chain, Integration with smart meters and IoT via APIs</t>
  </si>
  <si>
    <t>Moderate to Advanced (requires understanding of blockchain and energy systems)</t>
  </si>
  <si>
    <t xml:space="preserve">Community contributions and webinars available
</t>
  </si>
  <si>
    <t>May have blockchain energy consumption considerations</t>
  </si>
  <si>
    <t>Decentralized energy data exchange, Simulation and training for energy markets, Interoperability with blockchain systems</t>
  </si>
  <si>
    <t>Decentralized grid governance modeling, Peer-to-peer energy trading simulation</t>
  </si>
  <si>
    <t>Niche blockchain focus may limit integration in traditional energy systems</t>
  </si>
  <si>
    <t>https://github.com/gridsingularity/gsy-e</t>
  </si>
  <si>
    <t>https://gridsingularity.com/</t>
  </si>
  <si>
    <t>eDisGo(eGo^n)</t>
  </si>
  <si>
    <t>open_eGo</t>
  </si>
  <si>
    <t>Low-voltage distribution grid simulation and analysis for energy system planning</t>
  </si>
  <si>
    <t>based on PyPSA</t>
  </si>
  <si>
    <t>AGPL-3.0</t>
  </si>
  <si>
    <t>Active in Github, Small but focused academic/developer community</t>
  </si>
  <si>
    <t>Enables studies to reduce energy losses and improve grid efficiency</t>
  </si>
  <si>
    <t>Time series-based simulation of grid behavior, Load flow calculation and grid expansion planning, Data import from external data sources</t>
  </si>
  <si>
    <t>Simulation of local energy systems, Planning and optimization of low-voltage grids</t>
  </si>
  <si>
    <t>High technical barrier, Data dependency</t>
  </si>
  <si>
    <t>https://github.com/openego/eDisGo</t>
  </si>
  <si>
    <t>https://edisgo.readthedocs.io/en/dev/</t>
  </si>
  <si>
    <t>Pandapower – Python for Power System Analysis</t>
  </si>
  <si>
    <t>University of Kassel and Fraunhofer IEE</t>
  </si>
  <si>
    <t>Forschungsprojekt RobustPlan, HybridBOT_FW</t>
  </si>
  <si>
    <t>Distribution network modeling and analysis</t>
  </si>
  <si>
    <t>Actively maintained, regular updates</t>
  </si>
  <si>
    <t>Supports JSON, Excel, MATPOWER, PowerModels.jl; compatible with pandas/Numpy-based Python workflows</t>
  </si>
  <si>
    <t>BSD 3-Clause</t>
  </si>
  <si>
    <t>Moderate to advanced (user-friendly API)</t>
  </si>
  <si>
    <t>Active GitHub issues and discussions</t>
  </si>
  <si>
    <t>Supports energy efficiency through grid planning and optimization tools</t>
  </si>
  <si>
    <t>Support for large-scale distribution grid studies, Integration with time-series and control simulations</t>
  </si>
  <si>
    <t>Distribution grid planning and reinforcement analysis, Simulation of operational scenarios for DNOs, Technical validation of control strategies for DER integration</t>
  </si>
  <si>
    <t>only focused on distribution (not transmission-level modeling)</t>
  </si>
  <si>
    <t>https://github.com/e2nIEE/pandapower</t>
  </si>
  <si>
    <t>https://www.pandapower.org/</t>
  </si>
  <si>
    <t>PowSyBl</t>
  </si>
  <si>
    <t>Moderate to advanced (requires familiarity with power system modeling)</t>
  </si>
  <si>
    <t>Supported by LF Energy, GitHub discussions, technical documentation</t>
  </si>
  <si>
    <t>Supports congestion mitigation and efficient grid use</t>
  </si>
  <si>
    <t>Preventive/remedial action computation, modular architecture, AC/DC support</t>
  </si>
  <si>
    <t>https://github.com/powsybl/powsybl-open-rao</t>
  </si>
  <si>
    <t>PowerDynamics.jl</t>
  </si>
  <si>
    <t>Modeling and simulation of dynamic behavior in power systems</t>
  </si>
  <si>
    <t>Julia</t>
  </si>
  <si>
    <t>Moderately maintained</t>
  </si>
  <si>
    <t>JuliaEnergy packages</t>
  </si>
  <si>
    <t>Moderate to Advanced (requires familiarity with Julia language and power systems modeling)</t>
  </si>
  <si>
    <t>Niche but growing JuliaEnergy community</t>
  </si>
  <si>
    <t>helps optimize and simulate grid operations</t>
  </si>
  <si>
    <t>Dynamic grid modeling using differential-algebraic equations, Integration with DifferentialEquations.jl</t>
  </si>
  <si>
    <t>Grid balancing studies, Control systems testing</t>
  </si>
  <si>
    <t>Requires Julia expertise, Not plug-and-play</t>
  </si>
  <si>
    <t>https://github.com/JuliaEnergy/PowerDynamics.jl</t>
  </si>
  <si>
    <t>https://juliaenergy.github.io/PowerDynamics.jl/latest/</t>
  </si>
  <si>
    <t>OpenEMS</t>
  </si>
  <si>
    <t>Real-time energy management and dynamic pricing for decentralized systems</t>
  </si>
  <si>
    <t>MQTT, Modbus, REST APIs, JSON/REST,  JSON/Websocket</t>
  </si>
  <si>
    <t>Moderate (requires technical setup but well-documented)</t>
  </si>
  <si>
    <t>Active GitHub issues, Growing developer community</t>
  </si>
  <si>
    <t>Supports integration of renewables and smart energy usage optimization</t>
  </si>
  <si>
    <t>Real-time monitoring, optimization, Modular, edge-based energy management, Dynamic pricing and load shifting</t>
  </si>
  <si>
    <t>Energy management systems, Energy storage systems, Batteries, Solar and battery inverters, EV charging stations, Energy meters and Data services &amp; exchange</t>
  </si>
  <si>
    <t>Complex setup</t>
  </si>
  <si>
    <t>https://github.com/OpenEMS/openems</t>
  </si>
  <si>
    <t>https://openems.io/</t>
  </si>
  <si>
    <t>Decidim</t>
  </si>
  <si>
    <t xml:space="preserve">City Council of Barcelona </t>
  </si>
  <si>
    <t>NYC Civic Engagement Commission</t>
  </si>
  <si>
    <t>Modular participatory democracy platform enabling citizens and organizations to propose, vote, deliberate, and collaborate</t>
  </si>
  <si>
    <t>Ruby</t>
  </si>
  <si>
    <t>Actively maintained with regular updates</t>
  </si>
  <si>
    <t>GraphQL API, REST API, OAuth2, integrates with OpenStreetMap, Matomo, other civic tech tools</t>
  </si>
  <si>
    <t>Medium; setup requires technical knowledge (Ruby on Rails), but well-documented</t>
  </si>
  <si>
    <t>Strong; global contributor base, multilingual, organized via MetaDecidim governance space</t>
  </si>
  <si>
    <t>supports sustainable governance through transparent, inclusive decision-making</t>
  </si>
  <si>
    <t>Proposals, participatory processes, assemblies, initiatives, voting, surveys, collaborative documents, events</t>
  </si>
  <si>
    <t>Cities, NGOs, cooperatives, universities seeking participatory governance tools</t>
  </si>
  <si>
    <t>Requires Ruby expertise</t>
  </si>
  <si>
    <t>https://github.com/decidim/decidim</t>
  </si>
  <si>
    <t>https://decidim.org/</t>
  </si>
  <si>
    <t xml:space="preserve"> ensure that all stakeholders (like consumers, local governments, and energy providers) have a say in how energy regulations)….. are managed and evolved</t>
  </si>
  <si>
    <t>Friendica</t>
  </si>
  <si>
    <t>Friendica community</t>
  </si>
  <si>
    <t>Federated social networking with Mastodon, Diaspora, etc.</t>
  </si>
  <si>
    <t>Federated community communication and social networking</t>
  </si>
  <si>
    <t>PHP</t>
  </si>
  <si>
    <t>Actively maintained with regular updates on GitHub</t>
  </si>
  <si>
    <t>ActivityPub, Diaspora*, OStatus, RSS, SMTP, IMAP</t>
  </si>
  <si>
    <t>Moderate (user-friendly UI)</t>
  </si>
  <si>
    <t>Active developer and user community; forums and mailing lists</t>
  </si>
  <si>
    <t>lightweight compared to centralized platforms</t>
  </si>
  <si>
    <t>Decentralized network, federation protocols, privacy controls, plugin support</t>
  </si>
  <si>
    <t>Community forums, Energy communities</t>
  </si>
  <si>
    <t>Not ideal for real-time chat or corporate use</t>
  </si>
  <si>
    <t>https://github.com/friendica/friendica</t>
  </si>
  <si>
    <t>https://friendi.ca/</t>
  </si>
  <si>
    <t>Mobilizon</t>
  </si>
  <si>
    <t>Framasoft</t>
  </si>
  <si>
    <t>Aptaliko Events</t>
  </si>
  <si>
    <t>Event planning and group coordination for decentralized communities</t>
  </si>
  <si>
    <t>Elixir, Vue</t>
  </si>
  <si>
    <t>Active (frequent commits and regular releases)</t>
  </si>
  <si>
    <t>ActivityPub, GraphQL API</t>
  </si>
  <si>
    <t>GNU AGPL-3.0</t>
  </si>
  <si>
    <t>Moderate (clean UI but requires setup and hosting)</t>
  </si>
  <si>
    <t>Active open-source community</t>
  </si>
  <si>
    <t>Enables local, decentralized organizing, promoting low-footprint events</t>
  </si>
  <si>
    <t>Event creation, RSVP, group management, ActivityPub federation</t>
  </si>
  <si>
    <t>Community events, local group meetings, grassroots coordination</t>
  </si>
  <si>
    <t>Self-hosting may be complex for non-technical users</t>
  </si>
  <si>
    <t>https://framagit.org/kaihuri/mobilizon</t>
  </si>
  <si>
    <t>https://mobilizon.org/</t>
  </si>
  <si>
    <t>Discourse</t>
  </si>
  <si>
    <t>Discourse.org</t>
  </si>
  <si>
    <t>Ubuntu, Docker, and many OSS orgs</t>
  </si>
  <si>
    <t>Modern discussion forum platform for online communities</t>
  </si>
  <si>
    <t>Very actively maintained, core team and large open-source contributor base</t>
  </si>
  <si>
    <t>REST API, Webhooks, SSO (OAuth2, SAML), plugin system</t>
  </si>
  <si>
    <t>GPL-2.0</t>
  </si>
  <si>
    <t>High (web-based UI, admin dashboard, one-click updates)</t>
  </si>
  <si>
    <t>Large and vibrant community; meta.discourse.org forum and GitHub issues</t>
  </si>
  <si>
    <t>Depends on hosting; supports efficient community self-organization</t>
  </si>
  <si>
    <t>Real-time discussions, rich media support, notifications, trust levels, moderation tools</t>
  </si>
  <si>
    <t>Product support forums, open-source community hubs, internal team communication</t>
  </si>
  <si>
    <t>Requires hosting, PostgreSQL-based only</t>
  </si>
  <si>
    <t>https://github.com/discourse/discourse</t>
  </si>
  <si>
    <t>https://www.discourse.org/</t>
  </si>
  <si>
    <t>Forem</t>
  </si>
  <si>
    <t>Forem, Inc</t>
  </si>
  <si>
    <t>DEV Community, CodeNewbie</t>
  </si>
  <si>
    <t>Online community platform for creating discussion forums and social spaces</t>
  </si>
  <si>
    <t>Actively maintained (frequent commits and community contributions on GitHub)</t>
  </si>
  <si>
    <t>REST APIs, Webhooks, Oauth</t>
  </si>
  <si>
    <t>Moderate to advanced (requires setup with Rails stack and dependencies)</t>
  </si>
  <si>
    <t>Large open-source community, active GitHub issues and discussions</t>
  </si>
  <si>
    <t>Neutral (depends on deployment environment and hosting)</t>
  </si>
  <si>
    <t>User profiles, posts, tags, moderation tools, email newsletters, APIs, plug-ins</t>
  </si>
  <si>
    <t>Building niche or general-purpose online communities with user-generated content</t>
  </si>
  <si>
    <t>Requires Ruby on Rails knowledge</t>
  </si>
  <si>
    <t>https://github.com/forem/forem</t>
  </si>
  <si>
    <t>https://forem.com/</t>
  </si>
  <si>
    <t>Chain4Energy</t>
  </si>
  <si>
    <t>C4E DAO AG</t>
  </si>
  <si>
    <t>Blockchain-based energy transaction and asset tokenization</t>
  </si>
  <si>
    <t>TypeScript</t>
  </si>
  <si>
    <t>Occasionally updated on Github</t>
  </si>
  <si>
    <t>Cosmos SDK, IBC (Inter-Blockchain Communication)</t>
  </si>
  <si>
    <t>Moderate (CLI and developer-oriented)</t>
  </si>
  <si>
    <t>Growing community with GitHub and Discord presence</t>
  </si>
  <si>
    <t>Energy-focused with emphasis on green energy trading</t>
  </si>
  <si>
    <t>Proof-of-Stake blockchain, staking, governance, tokenization</t>
  </si>
  <si>
    <t xml:space="preserve"> P2P energy trading, grid services, green certificate</t>
  </si>
  <si>
    <t>Limited real-world deployments</t>
  </si>
  <si>
    <t>https://github.com/chain4energy/c4e-chain</t>
  </si>
  <si>
    <t>https://c4e.io/</t>
  </si>
  <si>
    <t>IOTA</t>
  </si>
  <si>
    <t>IOTA Foundation (Germany)</t>
  </si>
  <si>
    <t>DLT for feeless, scalable machine-to-machine (M2M) transactions</t>
  </si>
  <si>
    <t>Rust</t>
  </si>
  <si>
    <t>Actively maintained with regular commits</t>
  </si>
  <si>
    <t>MQTT, REST APIs, Chrysalis protocol</t>
  </si>
  <si>
    <t>Moderate to advanced (developer-focused SDKs and APIs)</t>
  </si>
  <si>
    <t>Large, global community, active Discord and GitHub</t>
  </si>
  <si>
    <t>Low energy consumption due to DAG structure</t>
  </si>
  <si>
    <t>Tangle (DAG-based), feeless transactions, micro-payments, smart contracts</t>
  </si>
  <si>
    <t>Decentralized energy trading, EV charging, supply chain tracking</t>
  </si>
  <si>
    <t>Still evolving ecosystem; not fully adopted in energy markets</t>
  </si>
  <si>
    <t>https://github.com/iotaledger/iota</t>
  </si>
  <si>
    <t>https://www.iota.org/</t>
  </si>
  <si>
    <t>Hyperledger Fabric</t>
  </si>
  <si>
    <t xml:space="preserve">Linux Foundation – Hyperledger Project
</t>
  </si>
  <si>
    <t>Permissioned blockchain for secure, transparent energy transactions</t>
  </si>
  <si>
    <t>Actively maintained by Hyperledger; Python SDK updated (but less active than core Fabric)</t>
  </si>
  <si>
    <t>gRPC, REST APIs, Python SDK (fabric-sdk-py), Node.js, Java</t>
  </si>
  <si>
    <t>Moderate to advanced (requires familiarity with blockchain and SDK usage)</t>
  </si>
  <si>
    <t>Strong enterprise backing; active GitHub, forums, and documentation</t>
  </si>
  <si>
    <t>No mining, energy-efficient consensus mechanisms</t>
  </si>
  <si>
    <t xml:space="preserve">Modular design, identity and access control, private channels, smart contracts
</t>
  </si>
  <si>
    <t>P2P trading, demand-response coordination, grid service validation</t>
  </si>
  <si>
    <t>https://github.com/hyperledger/fabric</t>
  </si>
  <si>
    <t>https://lf-hyperledger.atlassian.net/wiki/spaces/fabric/overview</t>
  </si>
  <si>
    <t>Ixian DLT</t>
  </si>
  <si>
    <t>Project Ixian</t>
  </si>
  <si>
    <t>IxiWatt (energy-to-IxiCash miner)</t>
  </si>
  <si>
    <t>DAG-based DLT enabling high-throughput microtransactions and secure data streaming</t>
  </si>
  <si>
    <t>C#</t>
  </si>
  <si>
    <t>Custom protocol; limited integration with external systems</t>
  </si>
  <si>
    <t xml:space="preserve">Moderate (requires setup of nodes and familiarity with Ixian ecosystem)
</t>
  </si>
  <si>
    <t>Engaged, active on Discord and GitHub</t>
  </si>
  <si>
    <t>Designed for energy efficiency with minimal hardware requirements</t>
  </si>
  <si>
    <t>Feeless transactions, decentralized messaging, secure data streaming</t>
  </si>
  <si>
    <t>Microtransactions, decentralized communication, potential for energy trading via IxiWatt</t>
  </si>
  <si>
    <t>Not widely used in energy sector</t>
  </si>
  <si>
    <t>https://github.com/ixian-platform/Ixian-DLT</t>
  </si>
  <si>
    <t>https://www.ixian.io/</t>
  </si>
  <si>
    <t>EnAccess Foundation</t>
  </si>
  <si>
    <t>Moderate (web-based dashboard with Android apps for field operations)</t>
  </si>
  <si>
    <t>Active GitHub and Discord channels</t>
  </si>
  <si>
    <t>Facilitates efficient energy management in decentralized systems</t>
  </si>
  <si>
    <t>Real-time asset monitoring, customer management, ticketing system, deferred payment schemes</t>
  </si>
  <si>
    <t>Mini-grid operators, SHS providers, decentralized utility companies</t>
  </si>
  <si>
    <t>Requires technical setup</t>
  </si>
  <si>
    <t>https://micropowermanager.io/</t>
  </si>
  <si>
    <t>Smart Village App</t>
  </si>
  <si>
    <t>Smart Village Solutions SVS GmbH</t>
  </si>
  <si>
    <t>Deployed in Bad Belzig, Mein HVL, Mein MYK</t>
  </si>
  <si>
    <t>Modular open-source mobile app for municipalities to provide news, events, services, and citizen engagement tools</t>
  </si>
  <si>
    <t>Integrates with municipal systems</t>
  </si>
  <si>
    <t>User-friendly interface; adaptable to specific municipal needs</t>
  </si>
  <si>
    <t>Active GitHub repository and community engagement</t>
  </si>
  <si>
    <t>Promotes digital access to services</t>
  </si>
  <si>
    <t>Local news, service directories, push notifications, surveys</t>
  </si>
  <si>
    <t>Municipalities aiming to enhance digital communication and citizen participation</t>
  </si>
  <si>
    <t>Requires initial setup, Not specific for energy communtiy</t>
  </si>
  <si>
    <t>https://github.com/smart-village-solutions/smart-village-app-app</t>
  </si>
  <si>
    <t>https://smart-village.app/</t>
  </si>
  <si>
    <t>OpenRemote</t>
  </si>
  <si>
    <t>OpenRemote Inc.</t>
  </si>
  <si>
    <t>Device management, asset modeling, and automation</t>
  </si>
  <si>
    <t>Actively maintained on GitHub</t>
  </si>
  <si>
    <t>User-friendly interface with customizable dashboards and rule engines</t>
  </si>
  <si>
    <t>Active community with forums, documentation, and open-source contributions</t>
  </si>
  <si>
    <t>Facilitates efficient energy management and smart city solutions</t>
  </si>
  <si>
    <t>Asset management, rule engine, multi-tenancy, edge computing, and mobile app integration</t>
  </si>
  <si>
    <t>Smart cities, energy management systems, building automation, and industrial IoT</t>
  </si>
  <si>
    <t>High Technical Complexity</t>
  </si>
  <si>
    <t>https://github.com/openremote/openremote</t>
  </si>
  <si>
    <t>https://openremote.io/</t>
  </si>
  <si>
    <t>TDengine for Predictive Maintenance</t>
  </si>
  <si>
    <t>TAOS Data</t>
  </si>
  <si>
    <t>CATL's Battery Manufacturing Monitoring</t>
  </si>
  <si>
    <t>High-performance time-series database for real-time IoT data analytics and predictive maintenance</t>
  </si>
  <si>
    <t>C</t>
  </si>
  <si>
    <t>MQTT, OPC, Supports integration with various data sources and tools</t>
  </si>
  <si>
    <t>Provides a simplified solution with built-in caching, stream processing, and data subscription features</t>
  </si>
  <si>
    <t>Active open-source community with extensive documentation and support resources</t>
  </si>
  <si>
    <t>Facilitates efficient energy management and predictive maintenance in renewable energy sectors</t>
  </si>
  <si>
    <t>High data ingestion rates, efficient storage, real-time analytics, and AI-powered anomaly detection</t>
  </si>
  <si>
    <t>Predictive maintenance, condition monitoring, and operational efficiency in manufacturing, renewable energy, and other industries</t>
  </si>
  <si>
    <t>Complex setup and customization</t>
  </si>
  <si>
    <t>https://github.com/taosdata/Tdengine</t>
  </si>
  <si>
    <t>https://tdengine.com/</t>
  </si>
  <si>
    <t>ELISA (Enabling Linux In Safety Applications)</t>
  </si>
  <si>
    <t>Linux Foundation</t>
  </si>
  <si>
    <t>Provides tools and processes to certify Linux-based systems for safety-critical applications</t>
  </si>
  <si>
    <t>Actively maintained with regular contributions and updates</t>
  </si>
  <si>
    <t>integration with various safety-critical systems</t>
  </si>
  <si>
    <t>Medium (Designed for developers and engineers with expertise in safety-critical systems)</t>
  </si>
  <si>
    <t>Active community with working groups, mailing lists, and regular meetings</t>
  </si>
  <si>
    <t>Facilitates the development of reliable and safe energy systems, reducing risks and enhancing sustainability</t>
  </si>
  <si>
    <t>Safety architecture frameworks, compliance documentation, and certification support tools</t>
  </si>
  <si>
    <t>energy systems, automotive, medical devices, and industrial automation</t>
  </si>
  <si>
    <t>Requires specialized knowledge in safety standards and Linux system development</t>
  </si>
  <si>
    <t>https://github.com/elisa-tech/tsc</t>
  </si>
  <si>
    <t>https://elisa.tech/</t>
  </si>
  <si>
    <t>SEAPATH</t>
  </si>
  <si>
    <t>Linux Foundation Energy (LF Energy)</t>
  </si>
  <si>
    <t>real-time hypervisor for hosting digital substation virtualized protection and control applications</t>
  </si>
  <si>
    <t>Shell</t>
  </si>
  <si>
    <t>Actively maintained (with recent commits and active roadmap via LF Energy)</t>
  </si>
  <si>
    <t>Built on open standards; supports integration with industrial control systems and real-time OS</t>
  </si>
  <si>
    <t>Medium (setup requires technical knowledge in virtualization and embedded systems)</t>
  </si>
  <si>
    <t>Backed by LF Energy community; public GitHub discussions and contributions encouraged</t>
  </si>
  <si>
    <t>enables secure, resilient edge computing, supporting grid stability and energy efficiency</t>
  </si>
  <si>
    <t>Virtualization for critical functions, Redundancy and fault-tolerance,Security-focused architecture</t>
  </si>
  <si>
    <t>Substation digitalization, Virtualized control for DERs and grid assets</t>
  </si>
  <si>
    <t>Less suited to small-scale or low-resilience scenarios, Hardware compatibility considerations</t>
  </si>
  <si>
    <t>https://github.com/seapath/build_debian_iso</t>
  </si>
  <si>
    <t>https://lfenergy.org/projects/seapath/</t>
  </si>
  <si>
    <t>EnergyID</t>
  </si>
  <si>
    <t>EnergieID vzw</t>
  </si>
  <si>
    <t>Collects, visualizes, and shares energy usage data across sources</t>
  </si>
  <si>
    <t>Occasionally maintained on GitHub, but the platform is actively maintained</t>
  </si>
  <si>
    <t>Supports data input via API, smart meters, and integrations with partners</t>
  </si>
  <si>
    <t>Free for limited functions, need to subscribe for full service</t>
  </si>
  <si>
    <t>Designed for non-technical users</t>
  </si>
  <si>
    <t>Moderate (public documentation exists but developer community is small)</t>
  </si>
  <si>
    <t>Promotes awareness and reduction of energy usage in communities</t>
  </si>
  <si>
    <t>Energy tracking, data sharing, community comparisons, platform and APP available, privacy-focused</t>
  </si>
  <si>
    <t>Households, schools, municipalities tracking energy and water usage</t>
  </si>
  <si>
    <t>Limited open-source codebase, limited function for free</t>
  </si>
  <si>
    <t>https://github.com/EnergieID/entsoe-py</t>
  </si>
  <si>
    <t>https://www.energyid.eu/de/</t>
  </si>
  <si>
    <t>OpenPDC</t>
  </si>
  <si>
    <t xml:space="preserve">Grid Protection Alliance (GPA) </t>
  </si>
  <si>
    <t>GPA Synchrophasor Suite</t>
  </si>
  <si>
    <t>Real-time collection, concentration, and distribution of phasor measurement data (synchrophasors)</t>
  </si>
  <si>
    <t>IEEE C37.118, BPA PDCstream, openPDC protocol, XML, CSV, SQL, and REST APIs</t>
  </si>
  <si>
    <t>Moderate to advanced (GUI provided but configuration is complex)</t>
  </si>
  <si>
    <t>Advanced (Developer-driven; support via GitHub, user guides, and GPA community)</t>
  </si>
  <si>
    <t>Enables more resilient and efficient grid operations</t>
  </si>
  <si>
    <t>Real-time data concentration, protocol conversion, archiving, event tagging</t>
  </si>
  <si>
    <t>Power grid monitoring, synchrophasor data analytics, grid event detection</t>
  </si>
  <si>
    <t>Limited suitability for low-voltage or residential monitoring</t>
  </si>
  <si>
    <t>https://github.com/GridProtectionAlliance/openPDC/tree/master</t>
  </si>
  <si>
    <t>https://www.openpdc.com/index.asp</t>
  </si>
  <si>
    <t>OpenNMS-Horizon</t>
  </si>
  <si>
    <t>The OpenNMS Group, Inc.</t>
  </si>
  <si>
    <t>Scalable network and system monitoring, alerting, performance metrics collection</t>
  </si>
  <si>
    <t>SNMP, HTTP, JMX, REST, MQTT, ICMP, Syslog, etc.</t>
  </si>
  <si>
    <t>Moderate to advanced (web UI available, but setup and tuning may require expertise)</t>
  </si>
  <si>
    <t>Large open-source community, documentation, user forums, commercial support available</t>
  </si>
  <si>
    <t>Enables efficient IT/infrastructure monitoring, supports reliability of energy systems</t>
  </si>
  <si>
    <t>Event-driven alerting, threshold monitoring, performance dashboards, topology maps, automation scripts</t>
  </si>
  <si>
    <t>Utility IT infrastructure monitoring, grid device uptime tracking</t>
  </si>
  <si>
    <t>Not energy-specific,  requires customization for energy use</t>
  </si>
  <si>
    <t>https://github.com/OpenNMS/opennms</t>
  </si>
  <si>
    <t>https://www.opennms.com/</t>
  </si>
  <si>
    <t>Netdata</t>
  </si>
  <si>
    <t>Netdata Inc.</t>
  </si>
  <si>
    <t>Netdata Cloud, Netdata Agent (main repo)</t>
  </si>
  <si>
    <t>Real-time health &amp; performance monitoring of systems and applications</t>
  </si>
  <si>
    <t>Very Actively maintained with regular updates on GitHub</t>
  </si>
  <si>
    <t>Linux, macOS, containers, IoT, multiple databases &amp; export formats</t>
  </si>
  <si>
    <t>Free, available for paid advanced service</t>
  </si>
  <si>
    <t>Easy setup with 1-line installer; user-friendly web dashboard</t>
  </si>
  <si>
    <t>Large, active community; detailed docs; strong GitHub activity</t>
  </si>
  <si>
    <t>Lightweight, low-resource monitoring; local-first architecture</t>
  </si>
  <si>
    <t>Real-time metrics, alerting, streaming, anomaly detection, plugin system</t>
  </si>
  <si>
    <t>Server monitoring, edge devices, smart grid infrastructure</t>
  </si>
  <si>
    <t>Not optimized for large scale historical data storage</t>
  </si>
  <si>
    <t>https://github.com/netdata/netdata</t>
  </si>
  <si>
    <t>https://www.netdata.cloud/</t>
  </si>
  <si>
    <t>Home Assistant</t>
  </si>
  <si>
    <t>Open Home Foundation</t>
  </si>
  <si>
    <t>Local home automation platform for monitoring and controlling devices</t>
  </si>
  <si>
    <t>Very highly active updates on Github</t>
  </si>
  <si>
    <t>Widly support integrations (Zigbee, MQTT, Modbus, KNX, REST, etc.)</t>
  </si>
  <si>
    <t>Free, optional subscription for remote access</t>
  </si>
  <si>
    <t>Moderate (advanced users benefit most; UI improving rapidly)</t>
  </si>
  <si>
    <t>Very large, vibrant community, official forum and Discord</t>
  </si>
  <si>
    <t>Local processing reduces cloud dependence and energy footprint</t>
  </si>
  <si>
    <t>Local control, automation engine, dashboards, mobile apps, energy monitoring</t>
  </si>
  <si>
    <t>Smart home control, energy data tracking, remote monitoring</t>
  </si>
  <si>
    <t>https://github.com/home-assistant/core</t>
  </si>
  <si>
    <t>https://www.home-assistant.io/</t>
  </si>
  <si>
    <t>FlexMeasures</t>
  </si>
  <si>
    <t>Linux Energy Foundation</t>
  </si>
  <si>
    <t>Real-time monitoring and forecasting of energy demand, supply, and flexibility, Smart energy scheduling and forecasting for flexible assets</t>
  </si>
  <si>
    <t>REST API, OpenADR, OCPP, MQTT, supports time-series data input/output</t>
  </si>
  <si>
    <t>Free, optional paid services</t>
  </si>
  <si>
    <t>Moderate (suitable for developers/engineers with energy systems knowledge)</t>
  </si>
  <si>
    <t>Growing user base; documentation, GitHub discussions, and commercial support</t>
  </si>
  <si>
    <t>Optimizes load shifting and flexibility, promoting better energy usage</t>
  </si>
  <si>
    <t>Data ingestion, monitoring dashboards, smart forecasting, asset control</t>
  </si>
  <si>
    <t>Monitoring of EV fleets, solar/battery systems, energy communities</t>
  </si>
  <si>
    <t>Not a plug-and-play GUI tool</t>
  </si>
  <si>
    <t>https://github.com/FlexMeasures/flexmeasures</t>
  </si>
  <si>
    <t>https://flexmeasures.io/</t>
  </si>
  <si>
    <t>Open-fdd</t>
  </si>
  <si>
    <t>Community-driven (bbartling)</t>
  </si>
  <si>
    <t>Python-based FDD for HVAC systems using ASHRAE/NIST fault equations</t>
  </si>
  <si>
    <t>Occasionally maintained (regular commits and releases on GitHub)</t>
  </si>
  <si>
    <t>Integrates with Pandas DataFrames; suitable for Jupyter workflows</t>
  </si>
  <si>
    <t>Moderate (requires Python)</t>
  </si>
  <si>
    <t>Limited developer's support</t>
  </si>
  <si>
    <t>Promotes energy efficiency by identifying HVAC faults</t>
  </si>
  <si>
    <t>Fault detection algorithms, Jupyter notebook examples, easy integration with data science tools</t>
  </si>
  <si>
    <t>HVAC system monitoring in buildings and energy communities</t>
  </si>
  <si>
    <t>Limited to HVAC datasets; not designed for large-scale IoT deployments</t>
  </si>
  <si>
    <t>https://github.com/bbartling/open-fdd</t>
  </si>
  <si>
    <t>https://pypi.org/project/open-fdd/</t>
  </si>
  <si>
    <t>BEMServer FDD Module</t>
  </si>
  <si>
    <t>Universitat de Girona</t>
  </si>
  <si>
    <t>BEMServer</t>
  </si>
  <si>
    <t>Fault detection and diagnosis using Principal Component Analysis (PCA) for building energy systems</t>
  </si>
  <si>
    <t>Limited, Part of BEMServer platform</t>
  </si>
  <si>
    <t>GNU Affero General Public License</t>
  </si>
  <si>
    <t>User-friendly (GUI-based)</t>
  </si>
  <si>
    <t>Limited, the project is archived</t>
  </si>
  <si>
    <t>Enhances building energy performance by detecting anomalies</t>
  </si>
  <si>
    <t>PCA-based analysis, alerts for energy consumption misbehaviors, integration with BEMServer</t>
  </si>
  <si>
    <t>Building energy management, facility management in energy communities</t>
  </si>
  <si>
    <t>Requires integration with BEMServer; may need customization for specific use cases</t>
  </si>
  <si>
    <t>https://github.com/HIT2GAP-EU-PROJECT/bemserver/blob/master/app/bemserver/models/modules.py</t>
  </si>
  <si>
    <t>https://www.bemserver.org/wp-content/uploads/2019/09/FDD_user_guide.pdf</t>
  </si>
  <si>
    <t>DEDDIAG</t>
  </si>
  <si>
    <t>Technical University of Applied Sciences Rosenheim</t>
  </si>
  <si>
    <t>Domestic energy monitoring system collecting appliance-level and main-level energy data</t>
  </si>
  <si>
    <t>Shell, Python</t>
  </si>
  <si>
    <t>Raspberry Pi, TP-Link SmartPlugs, PostgreSQL; data visualization via web UI</t>
  </si>
  <si>
    <t>Moderate (hardware setup)</t>
  </si>
  <si>
    <t>Facilitates energy usage analysis and promotes user behavior change</t>
  </si>
  <si>
    <t>Real-time data collection, secure data upload, visualization dashboard, alert system</t>
  </si>
  <si>
    <t>Residential energy monitoring, appliance-level energy usage analysis in energy communities</t>
  </si>
  <si>
    <t>Hardware setup required; primarily designed for research purposes</t>
  </si>
  <si>
    <t>https://github.com/DEDDIAG/deddiag-loader</t>
  </si>
  <si>
    <t>https://deddiag.github.io/about/</t>
  </si>
  <si>
    <t>Malcolm</t>
  </si>
  <si>
    <t>U.S. Department of Homeland Security</t>
  </si>
  <si>
    <t>Network traffic analysis and intrusion detection tailored to energy systems</t>
  </si>
  <si>
    <t>Python, Shell</t>
  </si>
  <si>
    <t>Docker-based, integrates with ELK stack, PCAP, Zeek, etc.</t>
  </si>
  <si>
    <t>Moderate (some setup needed)</t>
  </si>
  <si>
    <t>Active GitHub and INL backing</t>
  </si>
  <si>
    <t>Enables early threat detection in energy infrastructure</t>
  </si>
  <si>
    <t>Passive network monitoring, full packet capture, dashboards</t>
  </si>
  <si>
    <t>Cybersecurity for hydropower, DER, microgrids</t>
  </si>
  <si>
    <t>Requires technical setup, runs best on dedicated hardware</t>
  </si>
  <si>
    <t>https://github.com/idaholab/Malcolm</t>
  </si>
  <si>
    <t>https://malcolm.fyi/</t>
  </si>
  <si>
    <t>Security Onion</t>
  </si>
  <si>
    <t>Security Onion Solutions</t>
  </si>
  <si>
    <t>SOC Web Interface</t>
  </si>
  <si>
    <t>Threat hunting, intrusion detection, and log management</t>
  </si>
  <si>
    <t>Shell. Saltstack</t>
  </si>
  <si>
    <t>Integration with Snort, Suricata, Zeek, Wazuh</t>
  </si>
  <si>
    <t>Elastic License 2.0</t>
  </si>
  <si>
    <t>Moderate (web interface available)</t>
  </si>
  <si>
    <t>Very active open source community</t>
  </si>
  <si>
    <t>Reduces downtime from cyber incidents</t>
  </si>
  <si>
    <t>Full-stack IDS/IPS, security monitoring, real-time alerts</t>
  </si>
  <si>
    <t>Grid infrastructure, energy control systems</t>
  </si>
  <si>
    <t>Requires powerful hardware for full deployment</t>
  </si>
  <si>
    <t>https://github.com/Security-Onion-Solutions/securityonion</t>
  </si>
  <si>
    <t>https://securityonionsolutions.com/</t>
  </si>
  <si>
    <t>Zeek</t>
  </si>
  <si>
    <t>Lawrence Berkeley National Lab</t>
  </si>
  <si>
    <t>Zeek Package Manager (zkg)</t>
  </si>
  <si>
    <t>Deep network traffic inspection and security monitoring</t>
  </si>
  <si>
    <t>C++, Zeek</t>
  </si>
  <si>
    <t>Works across multiple network architectures</t>
  </si>
  <si>
    <t>Moderate (scripting required)</t>
  </si>
  <si>
    <t>Strong academic &amp; open source support</t>
  </si>
  <si>
    <t>Low overhead; minimal packet drops</t>
  </si>
  <si>
    <t>Protocol analysis, customizable detection policies</t>
  </si>
  <si>
    <t>Substation network traffic inspection</t>
  </si>
  <si>
    <t>Requires custom script logic to adapt to specific threats</t>
  </si>
  <si>
    <t>https://github.com/zeek/zeek</t>
  </si>
  <si>
    <t>https://zeek.org/</t>
  </si>
  <si>
    <t>MISP</t>
  </si>
  <si>
    <t xml:space="preserve">	MISP Project</t>
  </si>
  <si>
    <t>Threat intelligence sharing and event correlation</t>
  </si>
  <si>
    <t>REST API, integrates with SIEM tools and CSIRTs</t>
  </si>
  <si>
    <t>Moderate (web UI provided)</t>
  </si>
  <si>
    <t>International security community</t>
  </si>
  <si>
    <t>Improves collective response through intelligence reuse</t>
  </si>
  <si>
    <t>IOCs management, malware correlation, community-based alerts</t>
  </si>
  <si>
    <t>Energy community-wide threat data sharing</t>
  </si>
  <si>
    <t>Not a full IDS; best used as a complement</t>
  </si>
  <si>
    <t>https://github.com/MISP/MISP</t>
  </si>
  <si>
    <t>https://www.misp-project.org/</t>
  </si>
  <si>
    <t>GRR Rapid Response</t>
  </si>
  <si>
    <t>Google / Open Source</t>
  </si>
  <si>
    <t>Remote live forensics and incident response</t>
  </si>
  <si>
    <t>Works with Windows, Linux, Mac endpoints</t>
  </si>
  <si>
    <t>Technical (requires deployment knowledge)</t>
  </si>
  <si>
    <t>Moderate support</t>
  </si>
  <si>
    <t>Assists in fast recovery, limits threat spread</t>
  </si>
  <si>
    <t>Live memory analysis, behavioral forensics</t>
  </si>
  <si>
    <t>Secure energy endpoint monitoring and diagnostics</t>
  </si>
  <si>
    <t>May be overkill for small-scale deployments</t>
  </si>
  <si>
    <t>https://github.com/google/grr</t>
  </si>
  <si>
    <t>https://grr-doc.readthedocs.io/en/latest/</t>
  </si>
  <si>
    <t>OpenCTI</t>
  </si>
  <si>
    <t>Filigran</t>
  </si>
  <si>
    <t>Cyber threat intelligence platform with graph-based visualization</t>
  </si>
  <si>
    <t>TypeScript, JavaScript</t>
  </si>
  <si>
    <t>REST API, STIX2, integrates with MISP, TheHive</t>
  </si>
  <si>
    <t>Rapidly growing user base</t>
  </si>
  <si>
    <t>Enables smarter threat correlation</t>
  </si>
  <si>
    <t>Threat actor tracking, campaign monitoring</t>
  </si>
  <si>
    <t>National-scale energy network defense coordination</t>
  </si>
  <si>
    <t>Requires large infrastructure to scale</t>
  </si>
  <si>
    <t>https://github.com/OpenCTI-Platform/opencti</t>
  </si>
  <si>
    <t>https://filigran.io/solutions/open-cti/</t>
  </si>
  <si>
    <t>OpenSTEF</t>
  </si>
  <si>
    <t>Alliander</t>
  </si>
  <si>
    <t>Integrated in Alliander’s grid forecasting systems</t>
  </si>
  <si>
    <t>Automated ML pipeline for probabilistic short-term (0–48h) energy load forecasting</t>
  </si>
  <si>
    <t>HTML</t>
  </si>
  <si>
    <t>REST APIs, supports time-series data (via CSV, InfluxDB, pandas), Prometheus compatible</t>
  </si>
  <si>
    <t>MPL-2.0</t>
  </si>
  <si>
    <t>Moderate (CLI and config-driven; Docker support improves accessibility)</t>
  </si>
  <si>
    <t>Small but growing; documentation and issue tracker available</t>
  </si>
  <si>
    <t>Enables more efficient grid operations and reduced overproduction</t>
  </si>
  <si>
    <t>Probabilistic forecasts, explainability, modular ML pipeline, real-time compatibility</t>
  </si>
  <si>
    <t>Grid load forecasting for DSOs, community microgrids, energy optimization platforms</t>
  </si>
  <si>
    <t>Requires preprocessing and clean historical data; primarily for short-term forecasts</t>
  </si>
  <si>
    <t>https://github.com/OpenSTEF/openstef</t>
  </si>
  <si>
    <t>https://openstef.github.io/openstef/</t>
  </si>
  <si>
    <t>Helmholtz AI Energy Forecasting</t>
  </si>
  <si>
    <t>Helmholtz AI (Helmholtz Association, Germany)</t>
  </si>
  <si>
    <t>Used in Helmholtz Energy Computing Initiative; tied to ENERCAST and other AI4EO efforts</t>
  </si>
  <si>
    <t>Provides energy demand and renewable generation forecasting using machine learning models</t>
  </si>
  <si>
    <t>Jupyter Notebook</t>
  </si>
  <si>
    <t>REST APIs (via Flask), CSV and JSON for time-series input/output</t>
  </si>
  <si>
    <t>Moderate (Requires ML knowledge; research-oriented setup may need customization)</t>
  </si>
  <si>
    <t xml:space="preserve">Limited public community; mostly internal or academic users
</t>
  </si>
  <si>
    <t>Supports integration of renewable energy and efficient grid balancing</t>
  </si>
  <si>
    <t>ML-based forecasting, model interpretability, supports multi-region data</t>
  </si>
  <si>
    <t>Research, grid planning, renewables integration, smart energy systems</t>
  </si>
  <si>
    <t>Not a plug-and-play tool; better suited for researchers or developers with ML expertise</t>
  </si>
  <si>
    <t>https://github.com/Helmholtz-AI-Energy/electric-generation-forecasting</t>
  </si>
  <si>
    <t>https://www.helmholtz.ai/</t>
  </si>
  <si>
    <t>Energy Forecast Benchmark Toolkit (EFTB)</t>
  </si>
  <si>
    <t>Independent developer (GitHub user 'attila-balint-kul')</t>
  </si>
  <si>
    <t>EnFoBench dashboards on Hugging Face Spaces</t>
  </si>
  <si>
    <t>Provide common tools to benchmark forecast models</t>
  </si>
  <si>
    <t>Occasionally maintained on GitHub</t>
  </si>
  <si>
    <t xml:space="preserve">CSV/Excel file input for time-series data; no direct support for real-time APIs or protocols
</t>
  </si>
  <si>
    <t>Moderate (Designed for researchers and developers; good documentation but not beginner-focused)</t>
  </si>
  <si>
    <t xml:space="preserve">Limited public community
</t>
  </si>
  <si>
    <t>Facilitates improved forecasting accuracy, aiding in efficient energy management</t>
  </si>
  <si>
    <t>Standardized benchmarking framework, support for multiple energy datasets</t>
  </si>
  <si>
    <t>Evaluation and comparison of energy forecasting models in research and development settings</t>
  </si>
  <si>
    <t>Primarily focused on benchmarking; not intended for real-time forecasting applications</t>
  </si>
  <si>
    <t>https://github.com/attila-balint-kul/energy-forecast-benchmark-toolkit</t>
  </si>
  <si>
    <t>https://attila-balint-kul.github.io/energy-forecast-benchmark-toolkit/</t>
  </si>
  <si>
    <t>AI for Energy Sector</t>
  </si>
  <si>
    <t xml:space="preserve">Independent developer (GitHub user 'kaymen99')
</t>
  </si>
  <si>
    <t>Application of machine/deep learning models for various energy sector challenges, including demand forecasting, predictive maintenance, and renewable energy generation prediction</t>
  </si>
  <si>
    <t>Occasionally maintained on GitHub, no update recently</t>
  </si>
  <si>
    <t>CSV for time-series data, supports scikit-learn/PyTorch input pipelines; no built-in protocol APIs</t>
  </si>
  <si>
    <t>Moderate (Requires familiarity with Python and machine learning; suitable for researchers and developers)</t>
  </si>
  <si>
    <t>Limited community engagement</t>
  </si>
  <si>
    <t xml:space="preserve">Aims to enhance energy efficiency and sustainability through AI-driven solutions
</t>
  </si>
  <si>
    <t>Jupyter notebooks demonstrating ML applications in energy forecasting, maintenance, and management</t>
  </si>
  <si>
    <t>Research and development in energy demand forecasting, grid maintenance, renewable energy integration, and smart grid stability</t>
  </si>
  <si>
    <t>Not a production-ready toolkit</t>
  </si>
  <si>
    <t>https://github.com/kaymen99/AI-for-energy-sector</t>
  </si>
  <si>
    <t>RL-ADN</t>
  </si>
  <si>
    <t>Deep Reinforcement Learning environment for optimal dispatch of Energy Storage Systems (ESS)</t>
  </si>
  <si>
    <t>No updates since inception</t>
  </si>
  <si>
    <t>No built-in standard protocols; integrates via Python scripts; supports time-series data via NumPy/pandas</t>
  </si>
  <si>
    <t>Moderate (Requires ML expertise)</t>
  </si>
  <si>
    <t>Enhances efficiency in energy storage dispatch</t>
  </si>
  <si>
    <t>Data augmentation module, high computational efficiency</t>
  </si>
  <si>
    <t>Research on ESS dispatch optimization</t>
  </si>
  <si>
    <t>Not plug-and-play; setup complexity</t>
  </si>
  <si>
    <t>https://github.com/ShengrenHou/RL-ADN</t>
  </si>
  <si>
    <t>https://pypi.org/project/RL-ADN/</t>
  </si>
  <si>
    <t>PowerGym</t>
  </si>
  <si>
    <t>Siemens Technology</t>
  </si>
  <si>
    <t>Reinforcement Learning environment for Volt-Var control in power distribution systems</t>
  </si>
  <si>
    <t>uses Gym API for agent interaction; supports time-series via Python</t>
  </si>
  <si>
    <t>Moderate (requires understanding of RL concepts)</t>
  </si>
  <si>
    <t>Improves voltage regulation and reduces power loss</t>
  </si>
  <si>
    <t>IEEE test cases, customizable environments</t>
  </si>
  <si>
    <t>Development of RL-based Volt-Var controllers</t>
  </si>
  <si>
    <t>Requires domain knowledge in power systems</t>
  </si>
  <si>
    <t>https://github.com/siemens/powergym</t>
  </si>
  <si>
    <t>PyTorch</t>
  </si>
  <si>
    <t>Widely used in energy forecasting, optimization &amp; control systems</t>
  </si>
  <si>
    <t>Deep learning library for building and training neural networks</t>
  </si>
  <si>
    <t>Vert high; integrates with NumPy, ONNX, CUDA, etc.</t>
  </si>
  <si>
    <t>Moderate to high (rich API, good docs, steep learning curve for beginners)</t>
  </si>
  <si>
    <t>Very large, active community; extensive resources</t>
  </si>
  <si>
    <t>Depends on model/training; framework itself neutral</t>
  </si>
  <si>
    <t>Dynamic computation graph, GPU acceleration, strong Python interface</t>
  </si>
  <si>
    <t>Model development in energy forecasting, fault detection, control systems</t>
  </si>
  <si>
    <t>Not tailored to energy applications; requires domain-specific adaptation</t>
  </si>
  <si>
    <t>https://github.com/pytorch/pytorch</t>
  </si>
  <si>
    <t>https://pytorch.org/</t>
  </si>
  <si>
    <t>PyEPO</t>
  </si>
  <si>
    <t>End-to-end framework integrating prediction models with optimization problems</t>
  </si>
  <si>
    <t>Monthly, Actively maintained with comprehensive documentation</t>
  </si>
  <si>
    <t>Python-based; integrates with PyTorch and optimization solvers</t>
  </si>
  <si>
    <t>Moderate; familiarity with ML and optimization required</t>
  </si>
  <si>
    <t>Facilitates efficient decision-making in energy systems</t>
  </si>
  <si>
    <t>Supports various optimization problems</t>
  </si>
  <si>
    <t>Research in predictive optimization for energy</t>
  </si>
  <si>
    <t>Requires integration with specific solvers</t>
  </si>
  <si>
    <t>https://github.com/khalil-research/PyEPO</t>
  </si>
  <si>
    <t>https://khalil-research.github.io/PyEPO/build/html/index.html</t>
  </si>
  <si>
    <t>OpenGridGym</t>
  </si>
  <si>
    <t>Texas A&amp;M University</t>
  </si>
  <si>
    <t>AI-friendly toolkit for simulating distribution markets with trainable agents</t>
  </si>
  <si>
    <t>Python-based; modular components for customization</t>
  </si>
  <si>
    <t>Moderate; designed for researchers and developers</t>
  </si>
  <si>
    <t>Aids in designing efficient distribution markets</t>
  </si>
  <si>
    <t>Modular architecture, customizable agents</t>
  </si>
  <si>
    <t>Simulation of distribution market scenarios</t>
  </si>
  <si>
    <t>Not tailored for real-time applications</t>
  </si>
  <si>
    <t>https://github.com/tamu-engineering-research/OpenGridGym</t>
  </si>
  <si>
    <t>MyEMS</t>
  </si>
  <si>
    <t>Open-source energy management system</t>
  </si>
  <si>
    <t>REST APIs, MQTT, BACnet/IP, supports time-series data</t>
  </si>
  <si>
    <t>User-friendly interface</t>
  </si>
  <si>
    <t>Growing community support</t>
  </si>
  <si>
    <t>Enhances energy efficiency in buildings and facilities</t>
  </si>
  <si>
    <t>Web-based dashboard, multi-energy support</t>
  </si>
  <si>
    <t>Commercial buildings, hospitals, shopping malls</t>
  </si>
  <si>
    <t>Limited AI capabilities; focuses on data management</t>
  </si>
  <si>
    <t>https://github.com/MyEMS/myems</t>
  </si>
  <si>
    <t>https://myems.io/en/</t>
  </si>
  <si>
    <t>MESMO</t>
  </si>
  <si>
    <t>MESMO Team</t>
  </si>
  <si>
    <t>Python tool for simulation and optimization of energy systems</t>
  </si>
  <si>
    <t>Limited updates or maintainance</t>
  </si>
  <si>
    <t>REST APIs, supports time-series input/output via pandas, CSV, and optimization model APIs</t>
  </si>
  <si>
    <t>Moderate; suitable for researchers</t>
  </si>
  <si>
    <t>Academic community involvement</t>
  </si>
  <si>
    <t>Supports efficient energy system planning</t>
  </si>
  <si>
    <t>Multi-energy system modeling, DER integration</t>
  </si>
  <si>
    <t>Research in energy distribution systems</t>
  </si>
  <si>
    <t>Requires domain expertise; complex setup</t>
  </si>
  <si>
    <t>https://github.com/mesmo-dev/mesmo</t>
  </si>
  <si>
    <t>https://mesmo-dev.github.io/mesmo/develop/index.html</t>
  </si>
  <si>
    <t>Moderate; requires ML expertise</t>
  </si>
  <si>
    <t>Energy consumption anomaly detection</t>
  </si>
  <si>
    <t>EnergyTS-GANomaly</t>
  </si>
  <si>
    <t>Independent Researcher</t>
  </si>
  <si>
    <t>GAN-based model for energy time series anomaly detection</t>
  </si>
  <si>
    <t>Limited updates</t>
  </si>
  <si>
    <t>Python-based; Handles time-series data via CSV; no built-in support for MQTT, Modbus, or REST APIs</t>
  </si>
  <si>
    <t>Research community</t>
  </si>
  <si>
    <t>Detects complex anomalies</t>
  </si>
  <si>
    <t>GAN architecture, parallel reconstruction</t>
  </si>
  <si>
    <t>Experimental model</t>
  </si>
  <si>
    <t>https://github.com/HardikPrabhu/EnergyTS-GANomaly-with-Parallel-Reconstruction</t>
  </si>
  <si>
    <t>https://arxiv.org/abs/2402.14384</t>
  </si>
  <si>
    <t>Sintel</t>
  </si>
  <si>
    <t>High; interactive interface</t>
  </si>
  <si>
    <t>Enhances anomaly detection workflow</t>
  </si>
  <si>
    <t>End-to-end pipeline, human-in-the-loop</t>
  </si>
  <si>
    <t>Energy signal analysis</t>
  </si>
  <si>
    <t>General-purpose; not energy-specific</t>
  </si>
  <si>
    <t>https://github.com/sintel-dev/sintel</t>
  </si>
  <si>
    <t>dtaianomaly</t>
  </si>
  <si>
    <t>KU Leuven</t>
  </si>
  <si>
    <t>Python library for time series anomaly detection</t>
  </si>
  <si>
    <t>Python, Jupyter Notebook</t>
  </si>
  <si>
    <t>Supports time-series data via Python libraries</t>
  </si>
  <si>
    <t>High; user-friendly API</t>
  </si>
  <si>
    <t>Active community</t>
  </si>
  <si>
    <t>Facilitates anomaly detection research</t>
  </si>
  <si>
    <t>Built-in detectors, visualization tools</t>
  </si>
  <si>
    <t>Energy time series analysis</t>
  </si>
  <si>
    <t>https://github.com/ML-KULeuven/dtaianomaly</t>
  </si>
  <si>
    <t>https://dtaianomaly.readthedocs.io/en/stable/</t>
  </si>
  <si>
    <t>Anomalib</t>
  </si>
  <si>
    <t>Deep learning library for anomaly detection</t>
  </si>
  <si>
    <t>A library for benchmarking, developing and deploying deep learning anomaly detection algorithms</t>
  </si>
  <si>
    <t>Python-based; supports time-series data</t>
  </si>
  <si>
    <t>High; modular design</t>
  </si>
  <si>
    <t>Facilitates deployment of models</t>
  </si>
  <si>
    <t>State-of-the-art algorithms, OpenVINO support</t>
  </si>
  <si>
    <t>Energy system anomaly detection</t>
  </si>
  <si>
    <t>Requires adaptation for energy data</t>
  </si>
  <si>
    <t>https://github.com/open-edge-platform/anomalib</t>
  </si>
  <si>
    <t>Predictive Maintenance with AI Azure</t>
  </si>
  <si>
    <t>Azure, Microsoft</t>
  </si>
  <si>
    <t>End-to-end Azure ML pipeline for equipment diagnostics</t>
  </si>
  <si>
    <t>Cloud-based PM pipeline, data ingestion, feature engineering, prediction</t>
  </si>
  <si>
    <t>REST APIs, Azure IoT Hub, time-series input</t>
  </si>
  <si>
    <t>Free, subscription required</t>
  </si>
  <si>
    <t>CC-BY-4.0, MIT</t>
  </si>
  <si>
    <t>Moderate (cloud infra knowledge needed)</t>
  </si>
  <si>
    <t>Supported by Azure and microsoft opencode community</t>
  </si>
  <si>
    <t>Enables proactive energy equipment care</t>
  </si>
  <si>
    <t>Scalable ML workflow, cloud-native design</t>
  </si>
  <si>
    <t>Integration with Azure IoT for real-time data analytics, Industrial asset monitoring, Pilot projects in smart grids and energy facilities</t>
  </si>
  <si>
    <t>Requires Azure cloud and related services, High initial setup complexity for non-Azure users, Not tailored specifically for energy community use cases</t>
  </si>
  <si>
    <t>https://github.com/Azure/AI-PredictiveMaintenance</t>
  </si>
  <si>
    <t>https://learn.microsoft.com/en-us/azure/ai-services/anomaly-detector/concepts/multivariate-architecture</t>
  </si>
  <si>
    <t>BatteryML</t>
  </si>
  <si>
    <t>Microsoft</t>
  </si>
  <si>
    <t>Uses ML to model battery degradation and predict battery health/failures.</t>
  </si>
  <si>
    <t>Jupyter Notebook, Python</t>
  </si>
  <si>
    <t>Supports CSV, JSON; compatible with Python ML pipelines</t>
  </si>
  <si>
    <t>Moderate; requires ML knowledge and battery domain expertise</t>
  </si>
  <si>
    <t>Microsoft-backed, with issues/discussions on GitHub</t>
  </si>
  <si>
    <t>Promotes energy efficiency via early battery failure detection</t>
  </si>
  <si>
    <t>Battery lifecycle modeling, customizable ML pipelines, data preprocessing</t>
  </si>
  <si>
    <t>Predictive maintenance of battery energy storage in EVs or energy systems</t>
  </si>
  <si>
    <t>Focused solely on batteries; requires labeled degradation data</t>
  </si>
  <si>
    <t>https://github.com/microsoft/BatteryML</t>
  </si>
  <si>
    <t>https://www.microsoft.com/en-us/research/publication/batteryml-an-open-source-platform-for-machine-learning-on-battery-degradation/?msockid=3dc491333d316d33038d84f23ce36c37</t>
  </si>
  <si>
    <t>Apache Flink</t>
  </si>
  <si>
    <t>Apache Software Foundation</t>
  </si>
  <si>
    <t>Real-time stream and batch processing for high-volume data</t>
  </si>
  <si>
    <t>Very actively maintained with regular releases</t>
  </si>
  <si>
    <t>REST APIs, Kafka, MQTT, supports time-series and event data</t>
  </si>
  <si>
    <t>Moderate (Requires technical setup; complex for non-developers)</t>
  </si>
  <si>
    <t>Large and active global developer community</t>
  </si>
  <si>
    <t>Enables efficient data processing, aiding in energy optimization</t>
  </si>
  <si>
    <t>Low-latency streaming, event time processing, scalable</t>
  </si>
  <si>
    <t>Event Driven Applications, Stream &amp; Batch Analytics, Data Pipelines &amp; ETL</t>
  </si>
  <si>
    <t>Steep learning curve; not ideal for simple batch jobs</t>
  </si>
  <si>
    <t>https://github.com/apache/flink</t>
  </si>
  <si>
    <t>https://flink.apache.org/</t>
  </si>
  <si>
    <t>Apache Kylin</t>
  </si>
  <si>
    <t>Distributed OLAP (Online Analytical Processing) engine for large-scale data</t>
  </si>
  <si>
    <t>REST APIs, JDBC, Hive, Hbase</t>
  </si>
  <si>
    <t>Moderate (GUI interface helps; some big data setup required</t>
  </si>
  <si>
    <t>Helps optimize energy analytics at scale</t>
  </si>
  <si>
    <t>Ultra Fast Query Experience, Streaming-Batch Fusion Analysis, Powerful Data Warehouse Capabilities, Brand New Web UI</t>
  </si>
  <si>
    <t>Historical energy usage analysis, BI dashboards</t>
  </si>
  <si>
    <t>Not designed for real-time data; better for batch OLAP</t>
  </si>
  <si>
    <t>https://github.com/apache/kylin</t>
  </si>
  <si>
    <t>https://kylin.apache.org/</t>
  </si>
  <si>
    <t>Apache IoTDB</t>
  </si>
  <si>
    <t>Time-series database for IoT and energy sensor data</t>
  </si>
  <si>
    <t>MQTT, REST APIs, JDBC, OPC-UA, supports time-series data I/O</t>
  </si>
  <si>
    <t>High (Relatively user-friendly with web UI and command-line tools)</t>
  </si>
  <si>
    <t>Enables long-term energy monitoring and efficiency tracking</t>
  </si>
  <si>
    <t>High throughput, compression, time-series query optimization</t>
  </si>
  <si>
    <t>Sensor data ingestion, predictive maintenance, anomaly detection</t>
  </si>
  <si>
    <t>Still evolving; smaller ecosystem compared to others</t>
  </si>
  <si>
    <t>https://github.com/apache/iotdb</t>
  </si>
  <si>
    <t>https://iotdb.apache.org/</t>
  </si>
  <si>
    <t>QGIS</t>
  </si>
  <si>
    <t xml:space="preserve">	QGIS Project / OSGeo Foundation</t>
  </si>
  <si>
    <t>IRENA, OpenStreetMap</t>
  </si>
  <si>
    <t>Desktop GIS for spatial data visualization and analysis</t>
  </si>
  <si>
    <t xml:space="preserve"> C++, Python</t>
  </si>
  <si>
    <t>GeoJSON, Shapefile, PostGIS, WMS, WFS</t>
  </si>
  <si>
    <t>High</t>
  </si>
  <si>
    <t>Promotes low-carbon planning, avoids physical surveying</t>
  </si>
  <si>
    <t>Plugin system, 3D support, spatial analysis, raster/vector support</t>
  </si>
  <si>
    <t>Renewable energy mapping, grid planning, infrastructure siting</t>
  </si>
  <si>
    <t>Some advanced features require plugins; learning curve for complex tasks</t>
  </si>
  <si>
    <t>https://github.com/qgis/QGIS</t>
  </si>
  <si>
    <t>https://qgis.org/</t>
  </si>
  <si>
    <t>FlexiGIS</t>
  </si>
  <si>
    <t>EU Smart City research projects</t>
  </si>
  <si>
    <t>GIS platform for analyzing energy flexibility in urban environments</t>
  </si>
  <si>
    <t>Python, Makefile</t>
  </si>
  <si>
    <t>Geo data, oemof.solph, feedinlib</t>
  </si>
  <si>
    <t>BSD-3-Clause</t>
  </si>
  <si>
    <t>Limited, Research-oriented</t>
  </si>
  <si>
    <t>Helps model demand-response and reduce energy waste</t>
  </si>
  <si>
    <t>Integration with energy models, visualization, flexibility assessments</t>
  </si>
  <si>
    <t>Urban flexibility studies, DSM planning</t>
  </si>
  <si>
    <t>Requires programming background (Python)</t>
  </si>
  <si>
    <t>https://github.com/FlexiGIS/FlexiGIS</t>
  </si>
  <si>
    <t>https://www.dlr.de/de/ve/forschung-und-transfer/infrastruktur/modelle/optimierungsframework-flexigis</t>
  </si>
  <si>
    <t>MAPME</t>
  </si>
  <si>
    <t>MAPME Initiative</t>
  </si>
  <si>
    <t>Development-focused GIS toolkit for energy access and planning</t>
  </si>
  <si>
    <t>R</t>
  </si>
  <si>
    <t>Spatial data, EO data, shapefiles</t>
  </si>
  <si>
    <t>Enables low-resource, data-driven planning</t>
  </si>
  <si>
    <t>Indicators, satellite data integration, data storytelling tools</t>
  </si>
  <si>
    <t>Electrification planning, SDG monitoring</t>
  </si>
  <si>
    <t>Some modules may be immature or lack open licensing clarity</t>
  </si>
  <si>
    <t>https://github.com/mapme-initiative/mapme.biodiversity</t>
  </si>
  <si>
    <t>https://www.mapme-initiative.org/</t>
  </si>
  <si>
    <t>MapServer</t>
  </si>
  <si>
    <t>Univ. of Minnesota / OSGeo</t>
  </si>
  <si>
    <t>OpenEnergyMap, NASA data portals</t>
  </si>
  <si>
    <t>Web GIS for publishing spatial data and maps</t>
  </si>
  <si>
    <t>C, C++</t>
  </si>
  <si>
    <t>WMS, WFS, GDAL, PROJ</t>
  </si>
  <si>
    <t>FlatGeobuf, FlatBuffers</t>
  </si>
  <si>
    <t>Long-term stable</t>
  </si>
  <si>
    <t>Enables global public access to renewable mapping data</t>
  </si>
  <si>
    <t>Lightweight map rendering engine, open standard support</t>
  </si>
  <si>
    <t>Web dashboards for grid, remote site monitoring</t>
  </si>
  <si>
    <t>Requires server setup and GIS knowledge</t>
  </si>
  <si>
    <t>https://github.com/MapServer/MapServer</t>
  </si>
  <si>
    <t>https://mapserver.org/</t>
  </si>
  <si>
    <t>OpenJump</t>
  </si>
  <si>
    <t>OpenJUMP Team</t>
  </si>
  <si>
    <t>Desktop GIS with editing, vector and raster support</t>
  </si>
  <si>
    <t>Shapefiles, WKT, PostGIS, GML</t>
  </si>
  <si>
    <t>Limited support</t>
  </si>
  <si>
    <t>Lightweight; useful in resource-constrained settings</t>
  </si>
  <si>
    <t>Basic editing, extensibility via plugins</t>
  </si>
  <si>
    <t>Rural electrification mapping, network planning</t>
  </si>
  <si>
    <t>UI is outdated; less documentation than QGIS</t>
  </si>
  <si>
    <t>https://github.com/openjump-gis/openjump</t>
  </si>
  <si>
    <t>http://www.openjump.org/</t>
  </si>
  <si>
    <t>Open Energy Dashboard (OED)</t>
  </si>
  <si>
    <t>Open Energy Dashboard Project</t>
  </si>
  <si>
    <t>Displays energy information from smart energy meters or CSV uploads in a user-friendly web interface.</t>
  </si>
  <si>
    <t>JavaScript, TypeScript</t>
  </si>
  <si>
    <t xml:space="preserve">Supports data from various sources, including smart meters and CSV files.
</t>
  </si>
  <si>
    <t>Active community support via GitHub and Discord</t>
  </si>
  <si>
    <t>Facilitates energy awareness and efficiency by visualizing consumption patterns</t>
  </si>
  <si>
    <t>Simple interface optimized for non-technical users, Docker-based deployment, Provides access to organizational energy data</t>
  </si>
  <si>
    <t>Ideal for organizations seeking to visualize and monitor their energy consumption data</t>
  </si>
  <si>
    <t>May require Docker knowledge for setup</t>
  </si>
  <si>
    <t>https://github.com/OpenEnergyDashboard/OED</t>
  </si>
  <si>
    <t>https://openenergydashboard.org/index.html</t>
  </si>
  <si>
    <t>ThingsBoard</t>
  </si>
  <si>
    <t>ThingsBoard Company</t>
  </si>
  <si>
    <t>Open-source IoT platform for data collection, processing, visualization, and device management</t>
  </si>
  <si>
    <t>Very actively maintained with regular updates on GitHub</t>
  </si>
  <si>
    <t>MQTT, CoAP, HTTP, and other protocols.</t>
  </si>
  <si>
    <t>Free community support and subscribable professional support</t>
  </si>
  <si>
    <t>Supports energy efficiency through real-time monitoring and analysis</t>
  </si>
  <si>
    <t>Customizable dashboards for real-time data visualization, Rule engine for data processing and device management</t>
  </si>
  <si>
    <t>Smart energy monitoring, data visualization, and energy efficiency analysis</t>
  </si>
  <si>
    <t>Require technical knowledge for setup and configuration</t>
  </si>
  <si>
    <t>https://github.com/thingsboard/thingsboard</t>
  </si>
  <si>
    <t>https://thingsboard.io/</t>
  </si>
  <si>
    <t>Grafana</t>
  </si>
  <si>
    <t>Grafana Labs</t>
  </si>
  <si>
    <t>Grafana Loki, Grafana Tempo</t>
  </si>
  <si>
    <t>Real-time monitoring and visualization of time-series data</t>
  </si>
  <si>
    <t>MQTT, HTTP/REST, WebSockets; integrates with diverse IoT devices</t>
  </si>
  <si>
    <t>Free for basic functions, subscribable advanced plan</t>
  </si>
  <si>
    <t>High, User-friendly dashboards; extensive plugin ecosystem</t>
  </si>
  <si>
    <t xml:space="preserve">Large, active community; extensive documentation
</t>
  </si>
  <si>
    <t>Efficient data handling reduces resource usage</t>
  </si>
  <si>
    <t>Customizable dashboards, alerting, plugin support</t>
  </si>
  <si>
    <t>Energy consumption monitoring, grid performance visualization</t>
  </si>
  <si>
    <t>Requires setup and configuration; learning curve for advanced features</t>
  </si>
  <si>
    <t>https://github.com/grafana/grafana</t>
  </si>
  <si>
    <t>https://grafana.com/</t>
  </si>
  <si>
    <t>Apache Superset</t>
  </si>
  <si>
    <t>Connects to various databases via SQLAlchemy; supports REST APIs</t>
  </si>
  <si>
    <t>High, Intuitive interface; drag-and-drop features</t>
  </si>
  <si>
    <t>Strong community in Slack and GitHub; comprehensive documentation</t>
  </si>
  <si>
    <t>Optimized queries reduce computational load</t>
  </si>
  <si>
    <t>Interactive dashboards, rich visualizations, role-based access</t>
  </si>
  <si>
    <t>Energy data analysis, reporting, and dashboarding</t>
  </si>
  <si>
    <t>Initial setup complexity; requires database knowledge</t>
  </si>
  <si>
    <t>https://github.com/apache/superset</t>
  </si>
  <si>
    <t>https://superset.apache.org/</t>
  </si>
  <si>
    <t>Metabase</t>
  </si>
  <si>
    <t>Metabase, Inc.</t>
  </si>
  <si>
    <t>Self-service analytics and dashboarding tool</t>
  </si>
  <si>
    <t>REST APIs, connects to various databases</t>
  </si>
  <si>
    <t>High, Highly user-friendly; minimal technical skills required</t>
  </si>
  <si>
    <t>Vibrant community; extensive forums and guides</t>
  </si>
  <si>
    <t>Lightweight queries minimize resource usage</t>
  </si>
  <si>
    <t>Automated dashboards, SQL editor, sharing capabilities</t>
  </si>
  <si>
    <t>Energy usage reporting, KPI tracking</t>
  </si>
  <si>
    <t>Limited advanced analytics features</t>
  </si>
  <si>
    <t>https://github.com/metabase/metabase</t>
  </si>
  <si>
    <t>https://www.metabase.com/</t>
  </si>
  <si>
    <t>Vaex</t>
  </si>
  <si>
    <t>Vaex.io</t>
  </si>
  <si>
    <t>Python, JavaScript</t>
  </si>
  <si>
    <t>Supports HDF5, Integrates with Python ecosystem</t>
  </si>
  <si>
    <t>Moderate, Pythonic API; suitable for large data</t>
  </si>
  <si>
    <t>Documentation and community examples, paid consulting servcice</t>
  </si>
  <si>
    <t>Efficient memory usage for big data</t>
  </si>
  <si>
    <t>Fast filtering, visualization of billions of rows</t>
  </si>
  <si>
    <t>Analyzing large-scale energy datasets</t>
  </si>
  <si>
    <t>Limited GUI</t>
  </si>
  <si>
    <t>https://github.com/vaexio/vaex</t>
  </si>
  <si>
    <t>https://vaex.io/</t>
  </si>
  <si>
    <t>Chart.js</t>
  </si>
  <si>
    <t>Community-driven</t>
  </si>
  <si>
    <t>Simple yet flexible JavaScript charting</t>
  </si>
  <si>
    <t>Integrates with web applications via JavaScript</t>
  </si>
  <si>
    <t>High, Easy to implement with minimal configuration</t>
  </si>
  <si>
    <t>Strong community via Discord, X, and GitHub; comprehensive documentation</t>
  </si>
  <si>
    <t>Lightweight library reduces load times</t>
  </si>
  <si>
    <t>Responsive charts, animation support</t>
  </si>
  <si>
    <t>Embedding energy data charts in web pages</t>
  </si>
  <si>
    <t>Lacks advanced analytics</t>
  </si>
  <si>
    <t>https://github.com/chartjs/Chart.js</t>
  </si>
  <si>
    <t>https://www.chartjs.org/</t>
  </si>
  <si>
    <t>KNIME Analytics Platform</t>
  </si>
  <si>
    <t>KNIME GmbH</t>
  </si>
  <si>
    <t>Visual data analytics, machine learning workflows</t>
  </si>
  <si>
    <t>Java, Python</t>
  </si>
  <si>
    <t>REST APIs, CSV, Excel, Python, R, MQTT via plugins</t>
  </si>
  <si>
    <t>Primarily GPLv3, others vary by module</t>
  </si>
  <si>
    <t>High (Very user-friendly drag-and-drop interface)</t>
  </si>
  <si>
    <t>Large user community, forum, and documentation</t>
  </si>
  <si>
    <t>Helps identify energy inefficiencies through ML and data analytics</t>
  </si>
  <si>
    <t>Visual workflow editor, ML integration, ETL support</t>
  </si>
  <si>
    <t>Energy efficiency analytics, demand forecasting, reporting</t>
  </si>
  <si>
    <t>Heavy ML workflows may be resource-intensive</t>
  </si>
  <si>
    <t>https://www.knime.com/</t>
  </si>
  <si>
    <t>Electricity Maps</t>
  </si>
  <si>
    <t>Electricity
Maps crew</t>
  </si>
  <si>
    <t>Real-time visualization of electricity carbon intensity</t>
  </si>
  <si>
    <t>Integrates with various data sources; offers API access</t>
  </si>
  <si>
    <t>Moderate, Intuitive map-based interface</t>
  </si>
  <si>
    <t>Open-source contributions; active discussions</t>
  </si>
  <si>
    <t>Positive, promotes awareness of carbon emissions</t>
  </si>
  <si>
    <t>Live carbon intensity data, historical trends</t>
  </si>
  <si>
    <t>Monitoring grid emissions, policy analysis</t>
  </si>
  <si>
    <t>Focuses solely on carbon intensity; limited customization</t>
  </si>
  <si>
    <t>https://github.com/electricitymaps/electricitymaps-contrib</t>
  </si>
  <si>
    <t>https://www.electricitymaps.com/</t>
  </si>
  <si>
    <t>Prometheus</t>
  </si>
  <si>
    <t>Cloud Native Computing Foundation</t>
  </si>
  <si>
    <t>Monitoring and alerting for time-series data</t>
  </si>
  <si>
    <t>Go</t>
  </si>
  <si>
    <t xml:space="preserve">HTTP pull model; integrates with Grafana
</t>
  </si>
  <si>
    <t>Large, active community; extensive documentation</t>
  </si>
  <si>
    <t>Efficient data storage reduces resource usage</t>
  </si>
  <si>
    <t>Multi-dimensional data model, flexible query language, alerting</t>
  </si>
  <si>
    <t>Monitoring energy systems, infrastructure metrics</t>
  </si>
  <si>
    <t>Primarily designed for monitoring; limited advanced analytics</t>
  </si>
  <si>
    <t>https://github.com/prometheus/prometheus</t>
  </si>
  <si>
    <t>https://prometheus.io/</t>
  </si>
  <si>
    <t>InfluxDB</t>
  </si>
  <si>
    <t>InfluxData</t>
  </si>
  <si>
    <t>Time-series database for storing and querying metrics</t>
  </si>
  <si>
    <t>HTTP API; integrates with Grafana, Telegraf</t>
  </si>
  <si>
    <t>Apache-2.0, MIT</t>
  </si>
  <si>
    <t>High, User-friendly query language; comprehensive documentation</t>
  </si>
  <si>
    <t>Active community; extensive resources</t>
  </si>
  <si>
    <t>Optimized for time-series data; efficient storage</t>
  </si>
  <si>
    <t>High write and query performance, data retention policies</t>
  </si>
  <si>
    <t>Energy usage tracking, IoT data analysis</t>
  </si>
  <si>
    <t>Limited advanced analytics; primarily for data storage</t>
  </si>
  <si>
    <t>https://github.com/influxdata/influxdb</t>
  </si>
  <si>
    <t>https://www.influxdata.com/index/</t>
  </si>
  <si>
    <t>Kats</t>
  </si>
  <si>
    <t>Meta (Facebook)</t>
  </si>
  <si>
    <t>Time-series analysis and forecasting toolkit</t>
  </si>
  <si>
    <t xml:space="preserve">Python library; integrates with Pandas, Scikit-learn
</t>
  </si>
  <si>
    <t>High, User-friendly; suitable for non-experts</t>
  </si>
  <si>
    <t>Growing community; documentation available</t>
  </si>
  <si>
    <t>Lightweight; efficient computation</t>
  </si>
  <si>
    <t>Forecasting, anomaly detection, feature extraction</t>
  </si>
  <si>
    <t>Energy demand forecasting, anomaly detection</t>
  </si>
  <si>
    <t>Limited scalability for very large datasets</t>
  </si>
  <si>
    <t>https://github.com/facebookresearch/Kats</t>
  </si>
  <si>
    <t>https://facebookresearch.github.io/Kats/</t>
  </si>
  <si>
    <t>Prophet</t>
  </si>
  <si>
    <t>Time-series forecasting tool</t>
  </si>
  <si>
    <t>Python, R</t>
  </si>
  <si>
    <t>integrates with Pandas</t>
  </si>
  <si>
    <t>High, designed for non-experts; simple interface</t>
  </si>
  <si>
    <t>Large user base; extensive documentation</t>
  </si>
  <si>
    <t>Efficient computation; suitable for large datasets</t>
  </si>
  <si>
    <t>Handles seasonality, holidays, trend changes</t>
  </si>
  <si>
    <t>Energy consumption forecasting, load prediction</t>
  </si>
  <si>
    <t>May not capture complex patterns</t>
  </si>
  <si>
    <t>https://github.com/facebook/prophet</t>
  </si>
  <si>
    <t>https://facebook.github.io/prophet/</t>
  </si>
  <si>
    <t>Darts</t>
  </si>
  <si>
    <t>Unit8 SA</t>
  </si>
  <si>
    <t>Time-series forecasting and analysis library</t>
  </si>
  <si>
    <t>Python library; integrates with PyTorch, Scikit-learn</t>
  </si>
  <si>
    <t>High, User-friendly API; extensive documentation</t>
  </si>
  <si>
    <t>Active community; responsive maintainers</t>
  </si>
  <si>
    <t>Supports efficient models; scalable</t>
  </si>
  <si>
    <t>Multiple forecasting models, backtesting, ensembling</t>
  </si>
  <si>
    <t>Energy load forecasting, renewable generation prediction</t>
  </si>
  <si>
    <t>Requires understanding of time-series concepts</t>
  </si>
  <si>
    <t>https://github.com/unit8co/darts</t>
  </si>
  <si>
    <t>https://unit8co.github.io/darts/</t>
  </si>
  <si>
    <t>Nixtla</t>
  </si>
  <si>
    <t>StatsForecast, NeuralForecast, MLForecast</t>
  </si>
  <si>
    <t>Scalable time-series forecasting libraries</t>
  </si>
  <si>
    <t>Python libraries; integrates with Pandas, Scikit-learn</t>
  </si>
  <si>
    <t>High, Designed for scalability and ease of use</t>
  </si>
  <si>
    <t>Growing community; active maintainers</t>
  </si>
  <si>
    <t>Optimized for performance; efficient computation</t>
  </si>
  <si>
    <t>Multiple forecasting models, hierarchical forecasting</t>
  </si>
  <si>
    <t>Energy demand forecasting, grid load prediction</t>
  </si>
  <si>
    <t>Requires familiarity with Python ecosystem</t>
  </si>
  <si>
    <t>https://github.com/Nixtla/nixtla</t>
  </si>
  <si>
    <t>https://www.nixtla.io/</t>
  </si>
  <si>
    <t>Gekko Optimization</t>
  </si>
  <si>
    <t>Logan Beal and John D. Hedengren</t>
  </si>
  <si>
    <t>Python package for optimization and dynamic simulation, specializing in time-series and differential algebraic equations (DAE) systems.</t>
  </si>
  <si>
    <t>Monthly maintained</t>
  </si>
  <si>
    <t>Python API; integrates with MATLAB, R, Excel; supports remote APMonitor API; handles CSV, NumPy, Pandas.</t>
  </si>
  <si>
    <t>Medium; requires familiarity with Python programming; extensive documentation and examples available.</t>
  </si>
  <si>
    <t>High, a specially trained OpenAI GPT4 model is available</t>
  </si>
  <si>
    <t xml:space="preserve"> facilitates efficient modeling and optimization in energy systems, contributing to sustainable energy planning</t>
  </si>
  <si>
    <t>Solves large-scale mixed-integer and differential algebraic equations, Supports linear, quadratic, nonlinear, and mixed-integer programming</t>
  </si>
  <si>
    <t xml:space="preserve">Grid Energy Management, PID control tuning simulation, Difficult grid design and control </t>
  </si>
  <si>
    <t>Requires internet connection for remote server computations by default</t>
  </si>
  <si>
    <t>https://github.com/BYU-PRISM/GEKKO</t>
  </si>
  <si>
    <t>https://gekko.readthedocs.io/en/latest/</t>
  </si>
  <si>
    <t>Gates et al. - 2021 - Benchmarks for Grid Energy Management with Python Gekko</t>
  </si>
  <si>
    <t>Local Energy Sharing Simulator (LESS)</t>
  </si>
  <si>
    <t>Simulation of local energy sharing models</t>
  </si>
  <si>
    <t>Python and Node.js; Electron-based desktop application</t>
  </si>
  <si>
    <t>High, User-friendly interface; suitable for non-technical users</t>
  </si>
  <si>
    <t>Limited external contributions</t>
  </si>
  <si>
    <t>Supports analysis of sustainable energy sharing models</t>
  </si>
  <si>
    <t>Modeling of energy flows, financial simulations, scenario analysis</t>
  </si>
  <si>
    <t>Design and analysis of community energy sharing schemes</t>
  </si>
  <si>
    <t>Primarily a simulation tool; not for real-time deployment</t>
  </si>
  <si>
    <t>https://github.com/UNSW-CEEM/energy-sharing</t>
  </si>
  <si>
    <t>https://www.ceem.unsw.edu.au/open-source-tools</t>
  </si>
  <si>
    <t>Sunalyzer</t>
  </si>
  <si>
    <t>Boris Brock</t>
  </si>
  <si>
    <t>Vendor-independent solar monitoring system</t>
  </si>
  <si>
    <t>CSS, HTML</t>
  </si>
  <si>
    <t>Supports various inverters and smart meters; data stored locally</t>
  </si>
  <si>
    <t>Moderate, Designed for easy setup on devices like Raspberry Pi</t>
  </si>
  <si>
    <t>Enhances monitoring of solar energy production</t>
  </si>
  <si>
    <t>Real-time data visualization, responsive web interface, historical data analysis</t>
  </si>
  <si>
    <t xml:space="preserve">Monitoring community solar installations, individual solar system tracking
</t>
  </si>
  <si>
    <t>Primarily focused on monitoring; lacks energy sharing functionalities</t>
  </si>
  <si>
    <t>https://github.com/BorisBrock/Sunalyzer</t>
  </si>
  <si>
    <t>VirtualSmartGrid</t>
  </si>
  <si>
    <t>Aggregates household solar and consumption data; calculates electricity CO2 intensity</t>
  </si>
  <si>
    <t>Integrates with emoncms.org and ukgrid tools</t>
  </si>
  <si>
    <t>Moderate, Requires setup of associated tools; documentation provided</t>
  </si>
  <si>
    <t>Limited; primarily individual development</t>
  </si>
  <si>
    <t>Supports analysis of zero carbon energy systems</t>
  </si>
  <si>
    <t>Real-time and historical data aggregation, CO2 intensity estimation</t>
  </si>
  <si>
    <t>Testing zero carbon scenarios, community energy monitoring</t>
  </si>
  <si>
    <t>https://github.com/TrystanLea/VirtualSmartGrid</t>
  </si>
  <si>
    <t>Enflow</t>
  </si>
  <si>
    <t>Framework for creating reusable, reproducible, and benchmarkable energy models</t>
  </si>
  <si>
    <t>Python-based; integrates with various energy modeling components</t>
  </si>
  <si>
    <t>Moderate, Requires Python knowledge; documentation and examples provided</t>
  </si>
  <si>
    <t>Facilitates analysis and optimization of energy systems</t>
  </si>
  <si>
    <t>Supports simulation, forecasting, optimization, and agent-based models</t>
  </si>
  <si>
    <t>Energy modeling, scenario analysis, policy evaluation</t>
  </si>
  <si>
    <t>https://github.com/rebase-energy/enflow</t>
  </si>
  <si>
    <t>https://www.enflow.org/</t>
  </si>
  <si>
    <t>Virtual Power Plant Library (vpplib)</t>
  </si>
  <si>
    <t xml:space="preserve">Simulate and manage virtual power plants (VPPs) and local energy systems
</t>
  </si>
  <si>
    <t>Python-based; integrates with various energy components</t>
  </si>
  <si>
    <t>Moderate, Requires Python knowledge; comprehensive documentation provided</t>
  </si>
  <si>
    <t xml:space="preserve">Facilitates efficient energy resource management
</t>
  </si>
  <si>
    <t>Supports simulation of wind power, PV systems, BEVs, heat pumps, thermal energy storage, CHP, hydrogen storage</t>
  </si>
  <si>
    <t>Research, simulation, and management of distributed energy resources</t>
  </si>
  <si>
    <t>https://github.com/vinerya/virtual-power-plant</t>
  </si>
  <si>
    <t>eELib (elenia Energy Library)</t>
  </si>
  <si>
    <t>Technische Universität Braunschweig, elenia Institute</t>
  </si>
  <si>
    <t>eELib</t>
  </si>
  <si>
    <t>Model library for prosumer power systems and energy management strategies</t>
  </si>
  <si>
    <t>Python-based; integrates with energy modeling tools</t>
  </si>
  <si>
    <t>GNU GPL Version 3.0</t>
  </si>
  <si>
    <t>Low, Designed for researchers; requires familiarity with energy modeling</t>
  </si>
  <si>
    <t>Limited</t>
  </si>
  <si>
    <t>Supports analysis of energy systems for sustainability</t>
  </si>
  <si>
    <t>Simulation of building and grid scenarios, energy strategy evaluation</t>
  </si>
  <si>
    <t xml:space="preserve"> Research, policy analysis, educational purposes</t>
  </si>
  <si>
    <t>Primarily for simulation; not intended for real-time control</t>
  </si>
  <si>
    <t>https://gitlab.com/elenia1/elenia-energy-library</t>
  </si>
  <si>
    <t>EnergyPilot.io</t>
  </si>
  <si>
    <t>Fraunhofer IEE</t>
  </si>
  <si>
    <t>Smart home energy manager optimizing PV generation, battery storage, and flexible loads</t>
  </si>
  <si>
    <t>Node-RED, MQTT, HTTP API; integrates with Growatt inverters, TP-Link, Tasmota</t>
  </si>
  <si>
    <t>Moderate, Docker-based deployment with setup guide</t>
  </si>
  <si>
    <t>Small but growing; contributions welcome</t>
  </si>
  <si>
    <t>Reduces grid dependency and maximizes renewable energy use</t>
  </si>
  <si>
    <t>Realtime monitoring, automated control, customizable logic</t>
  </si>
  <si>
    <t>Home energy optimization, prosumer behavior automation</t>
  </si>
  <si>
    <t xml:space="preserve">Requires technical setup, focused on home use
</t>
  </si>
  <si>
    <t>https://github.com/energypilot-io/energypilot-io</t>
  </si>
  <si>
    <t>https://www.iee.fraunhofer.de/de/anwendungsfelder/energiewirtschaft/ems/energypilot.html</t>
  </si>
  <si>
    <t>LinkageX-SmartGrid-Prosumer-Simulator</t>
  </si>
  <si>
    <t>LinkageX</t>
  </si>
  <si>
    <t>Co-simulation framework for smart grid prosumer interactions and self-sustainable communication networks</t>
  </si>
  <si>
    <t>Python, MATLAB</t>
  </si>
  <si>
    <t>Combines Python and MATLAB; utilizes MATPOWER for simulations</t>
  </si>
  <si>
    <t xml:space="preserve"> Limited; primarily maintained by individual developer</t>
  </si>
  <si>
    <t>Facilitates analysis of energy trading and optimization</t>
  </si>
  <si>
    <t>Smart grid simulation, market scenario analysis, optimal power flow calculations</t>
  </si>
  <si>
    <t>Research, educational simulations, policy testing</t>
  </si>
  <si>
    <t>Not intended for real-time deployment; simulation purposes only</t>
  </si>
  <si>
    <t>https://github.com/dpnkr-s/LinkageX-SmartGrid-prosumer-simulator</t>
  </si>
  <si>
    <t>VOLTTRON</t>
  </si>
  <si>
    <t>PNNL (U.S. Department of Energy)</t>
  </si>
  <si>
    <t>U.S. Department of Energy (PNNL, Grid Modernization)</t>
  </si>
  <si>
    <t>Agent-based control and coordination</t>
  </si>
  <si>
    <t>Actively maintained by DoE</t>
  </si>
  <si>
    <t>BACnet, Modbus, MQTT</t>
  </si>
  <si>
    <t>Apache 2.0</t>
  </si>
  <si>
    <t>Moderate to High (requires technical setup)</t>
  </si>
  <si>
    <t>Strong research and industry network</t>
  </si>
  <si>
    <t>Supports DER and grid stability</t>
  </si>
  <si>
    <t>Distributed agents, secure messaging, extensible APIs</t>
  </si>
  <si>
    <t>Building energy management, VPPs</t>
  </si>
  <si>
    <t>Requires agent development, steep learning curve</t>
  </si>
  <si>
    <t>https://github.com/VOLTTRON/volttron</t>
  </si>
  <si>
    <t>https://volttron.org/</t>
  </si>
  <si>
    <t>Ideal for research and integration platforms</t>
  </si>
  <si>
    <t>Open Energy Monitor / EmonCMS</t>
  </si>
  <si>
    <t>OpenEnergyMonitor Community</t>
  </si>
  <si>
    <t>Community-driven, privately maintained (UK-based nonprofit)</t>
  </si>
  <si>
    <t>Monitoring, dashboarding, analysis</t>
  </si>
  <si>
    <t>Python, C++, PHP, HTML</t>
  </si>
  <si>
    <t>MQTT, HTTP, EmonHub, InfluxDB</t>
  </si>
  <si>
    <t>GNU GPLv3</t>
  </si>
  <si>
    <t>High (plug-and-play for supported hardware)</t>
  </si>
  <si>
    <t>Large and active</t>
  </si>
  <si>
    <t>Promotes awareness and optimization</t>
  </si>
  <si>
    <t>Real-time dashboards, historical data, solar tracking</t>
  </si>
  <si>
    <t>Households, schools, small microgrids</t>
  </si>
  <si>
    <t>Not designed for high-scale automation</t>
  </si>
  <si>
    <t>https://github.com/openenergymonitor</t>
  </si>
  <si>
    <t>https://openenergymonitor.org/</t>
  </si>
  <si>
    <t>Great for local engagement and education</t>
  </si>
  <si>
    <t>oemof (Open Energy Modelling Framework)</t>
  </si>
  <si>
    <t>Reiner Lemoine Institute, University of Magdeburg, Center for Sustainable Energy Systems (ZNES) European University Flensburg.</t>
  </si>
  <si>
    <t>Funded by German &amp; EU academic energy transition projects</t>
  </si>
  <si>
    <t>Modeling, optimization of community-level energy systems</t>
  </si>
  <si>
    <t>CSV, Pandas, Numpy, open standards</t>
  </si>
  <si>
    <t>Moderate (good docs, steep for large systems)</t>
  </si>
  <si>
    <t>Strong academic network</t>
  </si>
  <si>
    <t>Supports low-carbon scenario planning</t>
  </si>
  <si>
    <t>Multi-node systems, storage, sector coupling</t>
  </si>
  <si>
    <t>Municipal planning, scenario modeling</t>
  </si>
  <si>
    <t>No GUI; code-based workflows</t>
  </si>
  <si>
    <t>https://github.com/oemof/oemof-solph</t>
  </si>
  <si>
    <t>https://oemof.org/</t>
  </si>
  <si>
    <t>Well suited for academic and planning contexts</t>
  </si>
  <si>
    <t>PyPSA (Python for Power System Analysis)</t>
  </si>
  <si>
    <t>Technical University of Berlin, Karlsruhe Institute of Technology, Frankfurt Institute for Advanced Studies</t>
  </si>
  <si>
    <t>CoNDyNet, European Commission (H2020), PyPSA-Eur project</t>
  </si>
  <si>
    <t>Simulation and optimization of electricity networks</t>
  </si>
  <si>
    <t>CSV, JSON, Pandas, open-data formats</t>
  </si>
  <si>
    <t>Very active academic community</t>
  </si>
  <si>
    <t>High relevance for decarbonization modeling</t>
  </si>
  <si>
    <t>Sector coupling, storage, line constraints</t>
  </si>
  <si>
    <t>European grid modeling, open energy scenarios</t>
  </si>
  <si>
    <t>Requires strong modeling skills, No GUI</t>
  </si>
  <si>
    <t>https://github.com/PyPSA/PyPSA</t>
  </si>
  <si>
    <t>https://www.pypsa.org/</t>
  </si>
  <si>
    <t>Highly cited in academic energy modeling work</t>
  </si>
  <si>
    <t>Pacific Northwest National Laboratory (PNNL)</t>
  </si>
  <si>
    <t>DOE Grid Modernization Lab Consortium</t>
  </si>
  <si>
    <t>Testbed for grid planning and control apps</t>
  </si>
  <si>
    <t>Python, JAVA, JavaScript</t>
  </si>
  <si>
    <t>Active development by PNNL</t>
  </si>
  <si>
    <t>CIM, FNCS, REST APIs</t>
  </si>
  <si>
    <t>Different repositories have different license, MIT, BSD 2-Clause, etc.</t>
  </si>
  <si>
    <t>Advanced (primarily for developers)</t>
  </si>
  <si>
    <t>Growing in grid research circles</t>
  </si>
  <si>
    <t>Supports resilient, smart grid operations</t>
  </si>
  <si>
    <t>Simulations, real-time data streaming, test harness</t>
  </si>
  <si>
    <t>DSO app testing, interoperability R&amp;D</t>
  </si>
  <si>
    <t>Complex setup, not plug-and-play</t>
  </si>
  <si>
    <t>https://github.com/GRIDAPPSD/gridappsd-docker</t>
  </si>
  <si>
    <t>https://www.pnnl.gov/main/publications/external/technical_reports/PNNL-26340.pdf</t>
  </si>
  <si>
    <t>Powerful backend for research and integration testing</t>
  </si>
  <si>
    <t>EnergyScope</t>
  </si>
  <si>
    <t>EPFL (École polytechnique fédérale de Lausanne), UCLouvain</t>
  </si>
  <si>
    <t>EPFL-funded national modeling for Switzerland</t>
  </si>
  <si>
    <t>National/regional energy system modeling</t>
  </si>
  <si>
    <t>NMODL</t>
  </si>
  <si>
    <t>Occasional academic updates</t>
  </si>
  <si>
    <t>Spreadsheet, CSV</t>
  </si>
  <si>
    <t>Moderate (academic users)</t>
  </si>
  <si>
    <t>Academic and institutional</t>
  </si>
  <si>
    <t>Supports policy for sustainable energy transitions</t>
  </si>
  <si>
    <t>Hourly resolution, electricity &amp; heat modeling</t>
  </si>
  <si>
    <t>Switzerland, Belgium, Italy</t>
  </si>
  <si>
    <t>Focus on national level, not detailed communities</t>
  </si>
  <si>
    <t>https://github.com/energyscope/EnergyScope</t>
  </si>
  <si>
    <t>https://energyscope.readthedocs.io/en/master/</t>
  </si>
  <si>
    <t>Well-structured for strategic decision-making</t>
  </si>
  <si>
    <t>Calliope</t>
  </si>
  <si>
    <t>Imperial College London, University of Geneva, ETH Zurich</t>
  </si>
  <si>
    <t>UK Research Council / Imperial College London</t>
  </si>
  <si>
    <t>Energy systems optimization</t>
  </si>
  <si>
    <t>YAML, CSV, NetCDF</t>
  </si>
  <si>
    <t>Moderate (well-documented)</t>
  </si>
  <si>
    <t>Growing</t>
  </si>
  <si>
    <t>Decarbonization scenario analysis</t>
  </si>
  <si>
    <t>Multi-scale, linear optimization</t>
  </si>
  <si>
    <t>Urban energy planning, island systems</t>
  </si>
  <si>
    <t>Requires optimization solvers</t>
  </si>
  <si>
    <t>https://github.com/calliope-project/calliope</t>
  </si>
  <si>
    <t>https://www.callio.pe/</t>
  </si>
  <si>
    <t>Flexible and scriptable</t>
  </si>
  <si>
    <t>PowerMatcher</t>
  </si>
  <si>
    <t>TNO (Netherlands), Alliander, Stedin, Accenture, and CGI</t>
  </si>
  <si>
    <t>TNO Netherlands Smart Grid Projects (Netherlands Gov.)</t>
  </si>
  <si>
    <t>Agent-based smart grid balancing</t>
  </si>
  <si>
    <t>Limited (archived)</t>
  </si>
  <si>
    <t>REST APIs, JSON</t>
  </si>
  <si>
    <t>Moderate to complex</t>
  </si>
  <si>
    <t>Minimal (legacy project)</t>
  </si>
  <si>
    <t>Improves load balancing &amp; grid efficiency</t>
  </si>
  <si>
    <t>Multi-agent architecture, DER scheduling</t>
  </si>
  <si>
    <t>Smart grids in the Netherlands</t>
  </si>
  <si>
    <t>Obsolete documentation, low activity</t>
  </si>
  <si>
    <t>https://flexiblepower.github.io/javadoc/powermatcher/v2.0/index.html</t>
  </si>
  <si>
    <t>https://flexiblepower.github.io/</t>
  </si>
  <si>
    <t>Historically important, now largely inactive</t>
  </si>
  <si>
    <t>OpenDSS + DSSim-PC</t>
  </si>
  <si>
    <t>EPRI (Electric Power Research Institute)</t>
  </si>
  <si>
    <t>EPRI-funded project (USA Utility Research)</t>
  </si>
  <si>
    <t>Load flow analysis and circuit simulation</t>
  </si>
  <si>
    <t>Maintained and extended</t>
  </si>
  <si>
    <t>COM interface, Python wrappers</t>
  </si>
  <si>
    <t>EPRI open license</t>
  </si>
  <si>
    <t>Low to moderate</t>
  </si>
  <si>
    <t>Academic + industry users</t>
  </si>
  <si>
    <t>Improves distribution grid modeling</t>
  </si>
  <si>
    <t>Unbalanced load flow, PV hosting, reliability indices</t>
  </si>
  <si>
    <t>Utilities, smart grid simulation</t>
  </si>
  <si>
    <t>Outdated GUI, steep learning curve</t>
  </si>
  <si>
    <t>https://github.com/dss-extensions/OpenDSSDirect.py</t>
  </si>
  <si>
    <t>https://sourceforge.net/projects/electricdss/</t>
  </si>
  <si>
    <t>Utility-grade simulation platform</t>
  </si>
  <si>
    <t>SMAP (Simple Measurement and Actuation Profile)</t>
  </si>
  <si>
    <t>UC Berkeley</t>
  </si>
  <si>
    <t>UC Berkeley initiative, National Science Foundation (USA)</t>
  </si>
  <si>
    <t>Sensor data collection and actuation</t>
  </si>
  <si>
    <t>Python, C</t>
  </si>
  <si>
    <t>REST, JSON</t>
  </si>
  <si>
    <t>BSD</t>
  </si>
  <si>
    <t>Minimal (inactive)</t>
  </si>
  <si>
    <t>Foundation for energy monitoring</t>
  </si>
  <si>
    <t>Data streaming, modular drivers</t>
  </si>
  <si>
    <t>Smart building testbeds</t>
  </si>
  <si>
    <t>Obsolete documentation</t>
  </si>
  <si>
    <t>https://github.com/SoftwareDefinedBuildings/smap</t>
  </si>
  <si>
    <t>https://softwaredefinedbuildings.github.io/smap/</t>
  </si>
  <si>
    <t>Useful legacy middleware</t>
  </si>
  <si>
    <t>Grid eXchange Fabric (GXF) formerly Open Smart Grid Platform (OSGP)</t>
  </si>
  <si>
    <t>LF Energy Foundation, OSGP Alliance</t>
  </si>
  <si>
    <t>OSGP Alliance, Alliander (Dutch Utility) under national smart grid initiative</t>
  </si>
  <si>
    <t>Smart grid control and communication</t>
  </si>
  <si>
    <t>Maintained</t>
  </si>
  <si>
    <t>DLMS/COSEM, IEC 61850</t>
  </si>
  <si>
    <t>Moderate (documentation available)</t>
  </si>
  <si>
    <t>Stable community</t>
  </si>
  <si>
    <t>Enables grid-edge energy control</t>
  </si>
  <si>
    <t>Head-end communication, protocol adapters</t>
  </si>
  <si>
    <t>Dutch smart meter rollout</t>
  </si>
  <si>
    <t>Heavyweight for small deployments</t>
  </si>
  <si>
    <t>https://github.com/OSGP/open-smart-grid-platform</t>
  </si>
  <si>
    <t>https://www.osgp.org/en</t>
  </si>
  <si>
    <t>Robust grid integration layer</t>
  </si>
  <si>
    <t>OpenHAB</t>
  </si>
  <si>
    <t>openHAB Foundation</t>
  </si>
  <si>
    <t>Smart Home Control Platform</t>
  </si>
  <si>
    <t>Home automation and energy device integration</t>
  </si>
  <si>
    <t>MQTT, Zigbee, Z-Wave, HTTP, Modbus</t>
  </si>
  <si>
    <t>EPL 2.0</t>
  </si>
  <si>
    <t>Very strong global community</t>
  </si>
  <si>
    <t>Indirect – enables efficient energy automation</t>
  </si>
  <si>
    <t>Rule engine, bindings for 300+ devices</t>
  </si>
  <si>
    <t>Smart homes, solar integration</t>
  </si>
  <si>
    <t>Manual setup, steep learning curve</t>
  </si>
  <si>
    <t>https://github.com/openhab/openhab-core</t>
  </si>
  <si>
    <t>https://www.openhab.org/</t>
  </si>
  <si>
    <t>Robust and flexible HEMS foundation</t>
  </si>
  <si>
    <t>EMHASS</t>
  </si>
  <si>
    <t>Community project as extension to Home assistant</t>
  </si>
  <si>
    <t>Integrated with Home Assistant</t>
  </si>
  <si>
    <t>Energy scheduling and optimization</t>
  </si>
  <si>
    <t>Actively developed</t>
  </si>
  <si>
    <t>Home Assistant APIs</t>
  </si>
  <si>
    <t>Moderate (CLI-based)</t>
  </si>
  <si>
    <t>Niche user base</t>
  </si>
  <si>
    <t>Optimizes appliance and PV use</t>
  </si>
  <si>
    <t>LP optimization, battery scheduling</t>
  </si>
  <si>
    <t>Smart homes, battery control</t>
  </si>
  <si>
    <t>Not a full HEMS UI</t>
  </si>
  <si>
    <t>https://github.com/davidusb-geek/emhass</t>
  </si>
  <si>
    <t>https://community.home-assistant.io/t/emhass-an-energy-management-for-home-assistant/338126</t>
  </si>
  <si>
    <t>Good for advanced HA users</t>
  </si>
  <si>
    <t>IoTaWatt</t>
  </si>
  <si>
    <t>IoTaWatt Inc.</t>
  </si>
  <si>
    <t>Standalone power monitor</t>
  </si>
  <si>
    <t>Real-time power monitoring</t>
  </si>
  <si>
    <t>C++, HTML, Javascript</t>
  </si>
  <si>
    <t>MQTT, EmonCMS, InfluxDB</t>
  </si>
  <si>
    <t>Free (hardware needed)</t>
  </si>
  <si>
    <t>GPL-3.0 License</t>
  </si>
  <si>
    <t>High for plug-and-play use</t>
  </si>
  <si>
    <t>Small but strong</t>
  </si>
  <si>
    <t>Supports granular energy awareness</t>
  </si>
  <si>
    <t>Multi-channel CT monitoring</t>
  </si>
  <si>
    <t>Home consumption tracking</t>
  </si>
  <si>
    <t>No automation/control features</t>
  </si>
  <si>
    <t>https://github.com/boblemaire/IoTaWatt</t>
  </si>
  <si>
    <t>https://iotawatt.com/</t>
  </si>
  <si>
    <t>Great data source for HEMS</t>
  </si>
  <si>
    <t>EVCC (Electric Vehicle Charge Controller)</t>
  </si>
  <si>
    <t>EVCC open source community (Germany)</t>
  </si>
  <si>
    <t>Community project for solar EV charging</t>
  </si>
  <si>
    <t>Optimized EV charging based on PV surplus</t>
  </si>
  <si>
    <t>Go, Vue</t>
  </si>
  <si>
    <t>MQTT, Modbus, Home Assistant</t>
  </si>
  <si>
    <t>Active in German smart home forums</t>
  </si>
  <si>
    <t>Maximizes renewable usage for EVs</t>
  </si>
  <si>
    <t>PV surplus charging, tariff-aware logic</t>
  </si>
  <si>
    <t>Homes with solar PV and EV chargers</t>
  </si>
  <si>
    <t>Requires supported hardware</t>
  </si>
  <si>
    <t>https://github.com/evcc-io/evcc</t>
  </si>
  <si>
    <t>https://evcc.io/</t>
  </si>
  <si>
    <t>Great for solar-powered EV owners</t>
  </si>
  <si>
    <t>OpenHEMS (Julia toolkit)</t>
  </si>
  <si>
    <t>Open-HEMS GitHub community (Apps and UI developed by ACE IoT solutions)</t>
  </si>
  <si>
    <t>HEMS modeling with Julia</t>
  </si>
  <si>
    <t>PV simulation and HEMS control modeling</t>
  </si>
  <si>
    <t>CSV, Julia ecosystem</t>
  </si>
  <si>
    <t>Free (Apps chargable)</t>
  </si>
  <si>
    <t>MIT (apps BSD 3-Clause)</t>
  </si>
  <si>
    <t>Advanced (research focus)</t>
  </si>
  <si>
    <t>Academic niche</t>
  </si>
  <si>
    <t>Supports research on HEMS algorithms</t>
  </si>
  <si>
    <t>PVSim.jl, PVData.jl for HEMS analysis</t>
  </si>
  <si>
    <t>Simulation and research settings</t>
  </si>
  <si>
    <t>Not a complete system, modeling only</t>
  </si>
  <si>
    <t>https://github.com/Open-HEMS</t>
  </si>
  <si>
    <t>https://aceiotsolutions.com/journal/2022/open-hems-mobile-app-now-available-in-public-repo.html</t>
  </si>
  <si>
    <t>Valuable for modeling HEMS strategies</t>
  </si>
  <si>
    <t>OpenHEMS Sample by abriotde (built on Home Assistant)</t>
  </si>
  <si>
    <t>GitHub user abriotde</t>
  </si>
  <si>
    <t>Proof of concept with Home Assistant</t>
  </si>
  <si>
    <t>Basic HEMS scheduling and automation</t>
  </si>
  <si>
    <t>Home Assistant integrations</t>
  </si>
  <si>
    <t>Intermediate</t>
  </si>
  <si>
    <t>Optimizes appliance usage timing</t>
  </si>
  <si>
    <t>Home Assistant automations for HEMS</t>
  </si>
  <si>
    <t>Smart homes with PV</t>
  </si>
  <si>
    <t>Not a framework, more a demo</t>
  </si>
  <si>
    <t>https://github.com/abriotde/openhems-sample</t>
  </si>
  <si>
    <t>https://openhomesystem.com/</t>
  </si>
  <si>
    <t>Good for starting HEMS projects in HA</t>
  </si>
  <si>
    <t>Open HEMS App by ACE IoT Solutions</t>
  </si>
  <si>
    <t>ACE IoT Solutions</t>
  </si>
  <si>
    <t>HEMS API demonstrator</t>
  </si>
  <si>
    <t>Mobile interface for HEMS data</t>
  </si>
  <si>
    <t>API-based, JSON</t>
  </si>
  <si>
    <t>Basic (for demo use)</t>
  </si>
  <si>
    <t>Minimal</t>
  </si>
  <si>
    <t>User feedback interface</t>
  </si>
  <si>
    <t>Mobile HEMS UI sample</t>
  </si>
  <si>
    <t>Mobile interface demo for HEMS</t>
  </si>
  <si>
    <t>Frontend demo only</t>
  </si>
  <si>
    <t>https://github.com/ACE-IoT-Solutions/open-hems-app</t>
  </si>
  <si>
    <t>UI example for mobile HEMS apps</t>
  </si>
  <si>
    <t>Huawei Solar HEMS</t>
  </si>
  <si>
    <t>heinemannj on GitHub (Huawei)</t>
  </si>
  <si>
    <t>Home Assistant + Huawei solar integration</t>
  </si>
  <si>
    <t>Data modeling and energy flow visualization</t>
  </si>
  <si>
    <t>Jinja</t>
  </si>
  <si>
    <t>Community maintained</t>
  </si>
  <si>
    <t>Moderate (HA experience needed)</t>
  </si>
  <si>
    <t>Community-level support</t>
  </si>
  <si>
    <t>Increases solar self-consumption</t>
  </si>
  <si>
    <t>Energy flow estimation and stats</t>
  </si>
  <si>
    <t>Homes with Huawei PV inverters</t>
  </si>
  <si>
    <t>Huawei-specific, no control logic</t>
  </si>
  <si>
    <t>https://github.com/heinemannj/huawei_solar_hems</t>
  </si>
  <si>
    <t>Template solution for solar users</t>
  </si>
  <si>
    <t>OpenLEADR</t>
  </si>
  <si>
    <t>Open ADR Alliance, LF Energy, Tweede Golf, ElaadNL</t>
  </si>
  <si>
    <t>OpenADR protocol implementation</t>
  </si>
  <si>
    <t>OpenADR 2.0 VEN/VTN protocol library</t>
  </si>
  <si>
    <t>Python, Rust</t>
  </si>
  <si>
    <t>OpenADR, REST, TLS</t>
  </si>
  <si>
    <t>Apache 2.0, MIT</t>
  </si>
  <si>
    <t>Enables grid-responsive load behavior</t>
  </si>
  <si>
    <t>OpenADR 2.0a/2.0b support, secure communication</t>
  </si>
  <si>
    <t>Utility DR pilots, academic use</t>
  </si>
  <si>
    <t>Requires domain protocol understanding</t>
  </si>
  <si>
    <t>https://github.com/OpenLEADR/openleadr-rs</t>
  </si>
  <si>
    <t>https://lfenergy.org/projects/openleadr/</t>
  </si>
  <si>
    <t>Standard-compliant and well documented</t>
  </si>
  <si>
    <t>FLEXmeter</t>
  </si>
  <si>
    <t>Recurve + CAISO-California Independent System Operator</t>
  </si>
  <si>
    <t>Advanced M&amp;V for DR impacts</t>
  </si>
  <si>
    <t>Impact measurement for DR programs</t>
  </si>
  <si>
    <t>Active (utility-scale)</t>
  </si>
  <si>
    <t>REST API, OpenEE</t>
  </si>
  <si>
    <t>Validates DR savings</t>
  </si>
  <si>
    <t>Comparison group modeling, revenue-grade verification</t>
  </si>
  <si>
    <t>PG&amp;E, Recurve deployments</t>
  </si>
  <si>
    <t>Needs granular smart meter data</t>
  </si>
  <si>
    <t>https://colab.research.google.com/drive/1HPBz7Z6_kabAUWL7_WNG3Wvx-tpjvGop?usp=sharing</t>
  </si>
  <si>
    <t>https://flexmeter.recurve.com/</t>
  </si>
  <si>
    <t>Emerging standard in DR validation</t>
  </si>
  <si>
    <t>Arras (commercial version of GridLAB-D)</t>
  </si>
  <si>
    <t>Arras Energy, LF Energy, PNNL (US DOE)</t>
  </si>
  <si>
    <t>Smart grid simulation environment</t>
  </si>
  <si>
    <t>Simulate DR, load modeling, grid control</t>
  </si>
  <si>
    <t>Python, C++, Matlab</t>
  </si>
  <si>
    <t>Ongoing</t>
  </si>
  <si>
    <t>FNCS, CSV, XML</t>
  </si>
  <si>
    <t>Advanced</t>
  </si>
  <si>
    <t>Strong academic and lab backing</t>
  </si>
  <si>
    <t>Simulates DR-grid interactions</t>
  </si>
  <si>
    <t>Agent-based modeling, smart grid simulation</t>
  </si>
  <si>
    <t>PNNL, DOE research</t>
  </si>
  <si>
    <t>Steep learning curve</t>
  </si>
  <si>
    <t>https://github.com/arras-energy/gridlabd?tab=readme-ov-file</t>
  </si>
  <si>
    <t>https://www.arras.energy/, https://www.gridlabd.org/</t>
  </si>
  <si>
    <t>Gold standard in DR simulation tools</t>
  </si>
  <si>
    <t>CityLearn</t>
  </si>
  <si>
    <t>University of Texas at Austin</t>
  </si>
  <si>
    <t>Multi-agent RL for urban DR</t>
  </si>
  <si>
    <t>Simulation environment for DR via reinforcement learning</t>
  </si>
  <si>
    <t>OpenAI Gym, CSV, JSON</t>
  </si>
  <si>
    <t>Advanced (for RL researchers)</t>
  </si>
  <si>
    <t>Academic research community</t>
  </si>
  <si>
    <t>Supports AI-based DR efficiency</t>
  </si>
  <si>
    <t>Multi-agent, realistic DR simulation</t>
  </si>
  <si>
    <t>AI research, DR algorithm testing</t>
  </si>
  <si>
    <t>Not plug-and-play</t>
  </si>
  <si>
    <t>https://github.com/intelligent-environments-lab/CityLearn</t>
  </si>
  <si>
    <t>https://www.citylearn.net</t>
  </si>
  <si>
    <t>Standardized benchmarking environment</t>
  </si>
  <si>
    <t>Open DSM (former OpenEEmeter)</t>
  </si>
  <si>
    <t>Recurve, LF Energy</t>
  </si>
  <si>
    <t>CalTRACK-based M&amp;V</t>
  </si>
  <si>
    <t>Standardized measurement of energy savings</t>
  </si>
  <si>
    <t>Ongoing via OpenEE</t>
  </si>
  <si>
    <t>CSV, JSON, API integration</t>
  </si>
  <si>
    <t>Growing in utility circles</t>
  </si>
  <si>
    <t>Evaluates and verifies DR/EE savings</t>
  </si>
  <si>
    <t>CalTRACK, hourly/daily/monthly M&amp;V</t>
  </si>
  <si>
    <t>Efficiency and DR program validation</t>
  </si>
  <si>
    <t>Requires detailed input datasets</t>
  </si>
  <si>
    <t>https://github.com/opendsm/opendsm</t>
  </si>
  <si>
    <t>https://www.recurve.com/open-source</t>
  </si>
  <si>
    <t>Foundation for modern M&amp;V protocols</t>
  </si>
  <si>
    <t>Dsgrid (Demand-Side Grid Toolkit)</t>
  </si>
  <si>
    <t>NREL</t>
  </si>
  <si>
    <t>Demand-side modeling and data sharing</t>
  </si>
  <si>
    <t>Scenario analysis and modeling for DR</t>
  </si>
  <si>
    <t>Maintained by NREL</t>
  </si>
  <si>
    <t>HDF5, JSON</t>
  </si>
  <si>
    <t>Government and academic users</t>
  </si>
  <si>
    <t>Quantifies DR resource potential</t>
  </si>
  <si>
    <t>Demand profile analysis, EV modeling</t>
  </si>
  <si>
    <t>NREL grid studies</t>
  </si>
  <si>
    <t>Data preprocessing required</t>
  </si>
  <si>
    <t>https://github.com/dsgrid/dsgrid</t>
  </si>
  <si>
    <t>https://www.nrel.gov/analysis/dsgrid.html</t>
  </si>
  <si>
    <t>Grid-oriented DR resource planning tool</t>
  </si>
  <si>
    <t>ShapeShifter</t>
  </si>
  <si>
    <t>LF Energy</t>
  </si>
  <si>
    <t>Flexible energy services coordination</t>
  </si>
  <si>
    <t>Enable interoperability for flexible energy products</t>
  </si>
  <si>
    <t>Conceptual phase</t>
  </si>
  <si>
    <t>OpenADR-compatible</t>
  </si>
  <si>
    <t>Early stage development</t>
  </si>
  <si>
    <t>Early-stage</t>
  </si>
  <si>
    <t>Facilitates DER-based grid stability</t>
  </si>
  <si>
    <t>Spec for flexibility and DR message structure</t>
  </si>
  <si>
    <t>TNO Netherlands, LF Energy pilot projects</t>
  </si>
  <si>
    <t>Initial phase of development</t>
  </si>
  <si>
    <t>Shapeshifter · GitHub</t>
  </si>
  <si>
    <t>https://lfenergy.org/projects/</t>
  </si>
  <si>
    <t>Spec-level support for flexible demand</t>
  </si>
  <si>
    <t>Switch 2.0</t>
  </si>
  <si>
    <t>University of Hawaii</t>
  </si>
  <si>
    <t>Renewable Energy Transition Planning</t>
  </si>
  <si>
    <t>Capacity expansion modeling with DR</t>
  </si>
  <si>
    <t>Active</t>
  </si>
  <si>
    <t>CSV, JSON, SQLite</t>
  </si>
  <si>
    <t>Advanced (modeling experts)</t>
  </si>
  <si>
    <t>Academic</t>
  </si>
  <si>
    <t>Supports least-cost renewable pathways</t>
  </si>
  <si>
    <t>Multi-timescale optimization, DR as resource</t>
  </si>
  <si>
    <t>Hawaii energy planning, USAID projects</t>
  </si>
  <si>
    <t>Not for real-time control</t>
  </si>
  <si>
    <t>https://github.com/switch-model/switch</t>
  </si>
  <si>
    <t>https://www.switch-model.org</t>
  </si>
  <si>
    <t>Advanced modeling for planning DR potential</t>
  </si>
  <si>
    <t>ENCOVIZ</t>
  </si>
  <si>
    <t>Operational Program Competitiveness, En-
trepreneurship and Innovation under the call RESEARCH-
CREATE-INNOVATE (project T2EDK-03898)</t>
  </si>
  <si>
    <t>Open-source energy consumption visualization</t>
  </si>
  <si>
    <t>Role-based multi-user visual analysis of energy usage</t>
  </si>
  <si>
    <t>CSS, TypeScript, SCSS, Python, HTML, Shell, Dockerfile</t>
  </si>
  <si>
    <t>Academic support</t>
  </si>
  <si>
    <t>CSV, MQTT (via backend bridge)</t>
  </si>
  <si>
    <t>Emerging</t>
  </si>
  <si>
    <t>Improves energy transparency</t>
  </si>
  <si>
    <t>Dashboards, analytics, RBAC</t>
  </si>
  <si>
    <t>Academic visualization, household insight</t>
  </si>
  <si>
    <t>Prototype-level maturity</t>
  </si>
  <si>
    <t>https://github.com/datalab-auth/encoviz</t>
  </si>
  <si>
    <t>https://arxiv.org/abs/2305.05303</t>
  </si>
  <si>
    <t>Great for visual accessibility</t>
  </si>
  <si>
    <t>ESP32 Energy Meter</t>
  </si>
  <si>
    <t>DIY Energy Monitoring</t>
  </si>
  <si>
    <t>Real-time current and voltage monitoring via ESP32</t>
  </si>
  <si>
    <t>C++, Arduino</t>
  </si>
  <si>
    <t>Community maintained (No support)</t>
  </si>
  <si>
    <t>MQTT, Home Assistant</t>
  </si>
  <si>
    <t>Free (HW required)</t>
  </si>
  <si>
    <t>AGPL 3.0</t>
  </si>
  <si>
    <t>High (for hobbyists)</t>
  </si>
  <si>
    <t>DIY forums</t>
  </si>
  <si>
    <t>Enables household savings</t>
  </si>
  <si>
    <t>WiFi energy metering, low-cost</t>
  </si>
  <si>
    <t>Personal home energy tracking</t>
  </si>
  <si>
    <t>Accuracy depends on sensor calibration</t>
  </si>
  <si>
    <t>https://github.com/danpeig/ESP32EnergyMonitor</t>
  </si>
  <si>
    <t>https://esphome.io/</t>
  </si>
  <si>
    <t>Great for low-cost energy monitoring</t>
  </si>
  <si>
    <t>EnergyMe-Home</t>
  </si>
  <si>
    <t>Jibril Sharafi</t>
  </si>
  <si>
    <t>Home CT Energy Monitor</t>
  </si>
  <si>
    <t>Open-source multi-channel home energy monitor</t>
  </si>
  <si>
    <t>MQTT, Modbus TCP</t>
  </si>
  <si>
    <t>Free (HW needed)</t>
  </si>
  <si>
    <t>GPL 3</t>
  </si>
  <si>
    <t>Hobbyists and developers</t>
  </si>
  <si>
    <t>Enables circuit-level energy awareness</t>
  </si>
  <si>
    <t>Up to 17 channels, REST/MQTT access</t>
  </si>
  <si>
    <t>Smart homes with solar, per-device monitoring</t>
  </si>
  <si>
    <t>Requires CT sensors and DIY assembly</t>
  </si>
  <si>
    <t>https://github.com/jibrilsharafi/EnergyMe-Home</t>
  </si>
  <si>
    <t>https://oshwlab.com/jabrillo/multiple-channel-energy-meter</t>
  </si>
  <si>
    <t>Flexible and extensible design</t>
  </si>
  <si>
    <t>CEEMS</t>
  </si>
  <si>
    <t>Compute Energy and Emissions Monitoring Stack</t>
  </si>
  <si>
    <t>Track energy use and emissions in computing environments</t>
  </si>
  <si>
    <t>C, Go, Shell, Makefile, TypeScript, CSS</t>
  </si>
  <si>
    <t>Prometheus, Grafana, APIs</t>
  </si>
  <si>
    <t>Helps reduce data center emissions</t>
  </si>
  <si>
    <t>CPU/GPU power draw, emissions dashboard</t>
  </si>
  <si>
    <t>HPC clusters, cloud data centers</t>
  </si>
  <si>
    <t>Requires Prometheus and data center metrics</t>
  </si>
  <si>
    <t>https://github.com/mahendrapaipuri/ceems</t>
  </si>
  <si>
    <t>https://mahendrapaipuri.github.io/ceems/docs</t>
  </si>
  <si>
    <t>Designed for computing energy impact</t>
  </si>
  <si>
    <t>NILMTK</t>
  </si>
  <si>
    <t>Non-Intrusive Load Monitoring Toolkit</t>
  </si>
  <si>
    <t>Disaggregate appliance-level energy usage</t>
  </si>
  <si>
    <t>Python, Jupyter Notebook, Dockerfile</t>
  </si>
  <si>
    <t>CSV, REDD, UK-DALE datasets</t>
  </si>
  <si>
    <t>Strong in research</t>
  </si>
  <si>
    <t>Device-level awareness for efficiency</t>
  </si>
  <si>
    <t>Machine learning for energy use disaggregation</t>
  </si>
  <si>
    <t>Appliance-level usage research</t>
  </si>
  <si>
    <t>Offline batch processing</t>
  </si>
  <si>
    <t>https://github.com/nilmtk/nilmtk</t>
  </si>
  <si>
    <t>https://nilmtk.github.io/</t>
  </si>
  <si>
    <t>Most cited NILM toolkit in research</t>
  </si>
  <si>
    <t>Smart Citizen Kit</t>
  </si>
  <si>
    <t>IAAC Fab Lab Barcelona</t>
  </si>
  <si>
    <t>SmartCitizen platform</t>
  </si>
  <si>
    <t>Environmental and energy sensor platform</t>
  </si>
  <si>
    <t>C++, C, HTML, JavaScript, Python, Linker Script</t>
  </si>
  <si>
    <t>SmartCitizen API, MQTT</t>
  </si>
  <si>
    <t>Free (hardware extra)</t>
  </si>
  <si>
    <t>Strong community science engagement</t>
  </si>
  <si>
    <t>Environmental data democratization</t>
  </si>
  <si>
    <t>Modular sensor kit, online dashboards</t>
  </si>
  <si>
    <t>Citizen sensing, air + energy tracking</t>
  </si>
  <si>
    <t>Depends on sensor accuracy</t>
  </si>
  <si>
    <t>https://github.com/fablabbcn/smartcitizen-kit-21</t>
  </si>
  <si>
    <t>https://smartcitizen.me/</t>
  </si>
  <si>
    <t>Open hardware + open data platform</t>
  </si>
  <si>
    <t>QuESt 2.0</t>
  </si>
  <si>
    <t>Sandia National Laboratories, US Department of Energy</t>
  </si>
  <si>
    <t>QuESt Energy Storage Analytics</t>
  </si>
  <si>
    <t>Energy storage system analysis and optimization</t>
  </si>
  <si>
    <t>Python, HTML, kvlang, JavaScript, CSS, Shell</t>
  </si>
  <si>
    <t>Modular API, visualization dashboard</t>
  </si>
  <si>
    <t>Supports energy storage integration</t>
  </si>
  <si>
    <t>Modular apps, centralized analytics</t>
  </si>
  <si>
    <t>Storage modeling and feasibility studies</t>
  </si>
  <si>
    <t>Focuses on energy storage only</t>
  </si>
  <si>
    <t>https://github.com/sandialabs/snl-quest</t>
  </si>
  <si>
    <t>https://www.sandia.gov/ess/tools-resources/quest</t>
  </si>
  <si>
    <t>Focuses on energy storage system planning and modeling</t>
  </si>
  <si>
    <t>Prospect Energy</t>
  </si>
  <si>
    <t>Access to Energy Institute (A2EI) and the European programme GET.invest</t>
  </si>
  <si>
    <t>Energy access analytics</t>
  </si>
  <si>
    <t>Data flows from on/off-grid and mini-grids</t>
  </si>
  <si>
    <t>Python, Ruby, HAML, CSS, JavaScript</t>
  </si>
  <si>
    <t>Customizable data pipelines</t>
  </si>
  <si>
    <t>GNU AGPL 3</t>
  </si>
  <si>
    <t>Supports energy access decision-making</t>
  </si>
  <si>
    <t>Geospatial data, dashboarding, planning support</t>
  </si>
  <si>
    <t>Rural electrification planning</t>
  </si>
  <si>
    <t>Niche use cases</t>
  </si>
  <si>
    <t>https://gitlab.com/prospect-energy/prospect-server</t>
  </si>
  <si>
    <t>https://prospect.energy/</t>
  </si>
  <si>
    <t>Supports electrification planning with geospatial energy access data</t>
  </si>
  <si>
    <t>Sienna (SIIP)</t>
  </si>
  <si>
    <t>National Renewable Energy Laboratory (NREL)</t>
  </si>
  <si>
    <t>SIIP Framework</t>
  </si>
  <si>
    <t>Future energy systems simulation and planning</t>
  </si>
  <si>
    <t>Modular Julia packages</t>
  </si>
  <si>
    <t>BSD 3-Clause "New" or "Revised" License</t>
  </si>
  <si>
    <t>Academic and NREL support</t>
  </si>
  <si>
    <t>High — enables scenario planning</t>
  </si>
  <si>
    <t>Sector coupling, planning models</t>
  </si>
  <si>
    <t>Long-term national energy roadmaps</t>
  </si>
  <si>
    <t>High learning curve</t>
  </si>
  <si>
    <t>https://github.com/nrel-sienna</t>
  </si>
  <si>
    <t>https://www2.nrel.gov/analysis/sienna</t>
  </si>
  <si>
    <t>Modular Julia-based energy scenario modeling platform</t>
  </si>
  <si>
    <t>EnergyData.info (CKAN model)</t>
  </si>
  <si>
    <t>World Bank and ESMAP</t>
  </si>
  <si>
    <t>Open Energy Data Initiative</t>
  </si>
  <si>
    <t>Open energy data and analytics hub</t>
  </si>
  <si>
    <t>Python, CSS, HTML, JavaScript, SCSS, Shell</t>
  </si>
  <si>
    <t>CSV, GeoJSON, APIs</t>
  </si>
  <si>
    <t>Global development community</t>
  </si>
  <si>
    <t>Policy-level data transparency</t>
  </si>
  <si>
    <t>Data download, visualization, map tools</t>
  </si>
  <si>
    <t>National electrification maps, open tools</t>
  </si>
  <si>
    <t>Data quality varies by region</t>
  </si>
  <si>
    <t>https://github.com/ckan/ckan</t>
  </si>
  <si>
    <t>https://energydata.info/ https://ckan.org/</t>
  </si>
  <si>
    <t>Open global energy dataset with map and API access</t>
  </si>
  <si>
    <t>pyWATTS</t>
  </si>
  <si>
    <t>Helmholtz Association’s Initiative, KIT-IAI</t>
  </si>
  <si>
    <t>pyWATTS Time Series Framework</t>
  </si>
  <si>
    <t>Workflow automation for time series modeling</t>
  </si>
  <si>
    <t>Depreciated</t>
  </si>
  <si>
    <t>pandas, scikit-learn, tensorflow, CSV</t>
  </si>
  <si>
    <t>Forecasting and anomaly detection for energy</t>
  </si>
  <si>
    <t>Modular pipelines for ML models</t>
  </si>
  <si>
    <t>Energy consumption forecasting</t>
  </si>
  <si>
    <t>Requires Python proficiency</t>
  </si>
  <si>
    <t>https://github.com/KIT-IAI/pyWATTS</t>
  </si>
  <si>
    <t>Workflow automation for time series forecasting tasks</t>
  </si>
  <si>
    <t>Weka</t>
  </si>
  <si>
    <t>University of Waikato</t>
  </si>
  <si>
    <t>Weka Data Mining Suite</t>
  </si>
  <si>
    <t>Machine learning for classification and forecasting</t>
  </si>
  <si>
    <t>Not Active</t>
  </si>
  <si>
    <t>CSV, ARFF</t>
  </si>
  <si>
    <t>GPL</t>
  </si>
  <si>
    <t>Academic and educational</t>
  </si>
  <si>
    <t>Forecasting energy use patterns</t>
  </si>
  <si>
    <t>ML algorithms, visual workflow builder</t>
  </si>
  <si>
    <t>Energy anomaly detection, demand prediction</t>
  </si>
  <si>
    <t>UI not as modern, limited scaling</t>
  </si>
  <si>
    <t>https://github.com/Waikato/weka-wiki</t>
  </si>
  <si>
    <t>https://www.cs.waikato.ac.nz/ml/weka/</t>
  </si>
  <si>
    <t>Classic educational ML suite applicable to energy tasks</t>
  </si>
  <si>
    <t>PostHog</t>
  </si>
  <si>
    <t>PostHog, Inc.</t>
  </si>
  <si>
    <t>PostHog Product Analytics</t>
  </si>
  <si>
    <t>User behavior analytics</t>
  </si>
  <si>
    <t>Python, TypeScript, Rust, C++, JavaScript, SCSS</t>
  </si>
  <si>
    <t>User-centric energy UX tracking</t>
  </si>
  <si>
    <t>Session recording, funnels, feature flags</t>
  </si>
  <si>
    <t>Energy app usage behavior tracking</t>
  </si>
  <si>
    <t>Focus on digital product analytics</t>
  </si>
  <si>
    <t>https://github.com/PostHog/posthog</t>
  </si>
  <si>
    <t>https://posthog.com/</t>
  </si>
  <si>
    <t>Behavior analytics for energy app usage insights</t>
  </si>
  <si>
    <t>EnergyPlus</t>
  </si>
  <si>
    <t>U.S. DOE</t>
  </si>
  <si>
    <t>Building Energy Simulation</t>
  </si>
  <si>
    <t>Simulates building energy and HVAC systems</t>
  </si>
  <si>
    <t>C++, Fortran, Jupyter Notebook, Python, Visual Basic, Cmake</t>
  </si>
  <si>
    <t>CSV, IDF, JSON, Python bindings</t>
  </si>
  <si>
    <t>BSD-3-Clause (Similar)</t>
  </si>
  <si>
    <t>Strong academic &amp; engineering</t>
  </si>
  <si>
    <t>Building energy optimization</t>
  </si>
  <si>
    <t>Detailed HVAC modeling, solar integration</t>
  </si>
  <si>
    <t>LEED certification, green building modeling</t>
  </si>
  <si>
    <t>https://github.com/NREL/EnergyPlus</t>
  </si>
  <si>
    <t>https://energyplus.net/</t>
  </si>
  <si>
    <t>Detailed HVAC and envelope modeling for buildings</t>
  </si>
  <si>
    <t>Open Energy Data Initiative (OEDI)</t>
  </si>
  <si>
    <t>OEDI</t>
  </si>
  <si>
    <t>Access and analysis of DOE open datasets</t>
  </si>
  <si>
    <t>Python, Jupyter Notebook, HTML etc.</t>
  </si>
  <si>
    <t>CSV, NetCDF, APIs</t>
  </si>
  <si>
    <t>Policy researchers and developers</t>
  </si>
  <si>
    <t>Energy data democratization</t>
  </si>
  <si>
    <t>Data repository, documentation, access APIs</t>
  </si>
  <si>
    <t>Public energy data analysis</t>
  </si>
  <si>
    <t>No native visualization</t>
  </si>
  <si>
    <t>https://github.com/openEDI</t>
  </si>
  <si>
    <t>https://data.openei.org/</t>
  </si>
  <si>
    <t>Repository for DOE-supported open energy datasets</t>
  </si>
  <si>
    <t>pvlib python</t>
  </si>
  <si>
    <t>Sandia Labs, Community</t>
  </si>
  <si>
    <t>Solar PV modeling</t>
  </si>
  <si>
    <t>Photovoltaic system modeling</t>
  </si>
  <si>
    <t>pandas, NumPy, matplotlib</t>
  </si>
  <si>
    <t>Academic and industry</t>
  </si>
  <si>
    <t>Solar production optimization</t>
  </si>
  <si>
    <t>Irradiance, module modeling, forecast support</t>
  </si>
  <si>
    <t>PV forecasting and analytics</t>
  </si>
  <si>
    <t>No GUI</t>
  </si>
  <si>
    <t>https://github.com/pvlib/pvlib-python</t>
  </si>
  <si>
    <t>https://pvlib-python.readthedocs.io/</t>
  </si>
  <si>
    <t>Detailed modeling and forecasting for PV systems</t>
  </si>
  <si>
    <t>JuliaGrid</t>
  </si>
  <si>
    <t>Julia Programming Language</t>
  </si>
  <si>
    <t>Power system observability and analytics</t>
  </si>
  <si>
    <t>State estimation and observability analysis</t>
  </si>
  <si>
    <t>Julia, MATLAB</t>
  </si>
  <si>
    <t>New and active</t>
  </si>
  <si>
    <t>CSV, JSON, JuliaGrid modules</t>
  </si>
  <si>
    <t>Supports grid optimization</t>
  </si>
  <si>
    <t>Power flow, topology, estimation</t>
  </si>
  <si>
    <t>Academic power grid research</t>
  </si>
  <si>
    <t>New project</t>
  </si>
  <si>
    <t>https://github.com/mcosovic/JuliaGrid.jl</t>
  </si>
  <si>
    <t>https://mcosovic.github.io/JuliaGrid.jl/stable/</t>
  </si>
  <si>
    <t>Academic state estimation platform in Julia</t>
  </si>
  <si>
    <t>Power Grid Model</t>
  </si>
  <si>
    <t>LF Energy - Power Grid Model</t>
  </si>
  <si>
    <t>High-performance analysis of distribution grids</t>
  </si>
  <si>
    <t xml:space="preserve">Python, C++, Jupyter Notebook, Ruby </t>
  </si>
  <si>
    <t>pandapower, JSON</t>
  </si>
  <si>
    <t>Enables accurate simulation of DSO grids</t>
  </si>
  <si>
    <t>Power flow, state estimation, short-circuit analysis</t>
  </si>
  <si>
    <t>Grid planning, congestion studies</t>
  </si>
  <si>
    <t>Focused on steady-state models</t>
  </si>
  <si>
    <t>https://github.com/PowerGridModel</t>
  </si>
  <si>
    <t>https://lfenergy.org/projects/power-grid-model/</t>
  </si>
  <si>
    <t>LF Energy’s backbone DSO modeling engine</t>
  </si>
  <si>
    <t>PowerSimulationsDynamics.jl</t>
  </si>
  <si>
    <t>Dynamic grid simulation for inverter-based resources</t>
  </si>
  <si>
    <t>Dynamic simulation Power system Dynamics</t>
  </si>
  <si>
    <t>Julia, Python, MATLAB</t>
  </si>
  <si>
    <t>PSY.jl, PowerModels.jl</t>
  </si>
  <si>
    <t>Critical for stability under high RES</t>
  </si>
  <si>
    <t>EMT + phasor dynamics, rich library of models</t>
  </si>
  <si>
    <t>Stability, grid-forming inverters, black-start</t>
  </si>
  <si>
    <t>Niche language and new platform</t>
  </si>
  <si>
    <t>https://github.com/NREL-Sienna/PowerSimulationsDynamics.jl</t>
  </si>
  <si>
    <t>https://nrel-sienna.github.io/PowerSimulationsDynamics.jl/stable/</t>
  </si>
  <si>
    <t>Powerful but requires Julia ecosystem familiarity</t>
  </si>
  <si>
    <t>PowerDEVS</t>
  </si>
  <si>
    <t>Centro Internacional Franco Argentino de Ciencias de la Información y de Sistemas</t>
  </si>
  <si>
    <t>Hybrid system modeling framework</t>
  </si>
  <si>
    <t>Simulation using DEVS formalism for hybrid systems</t>
  </si>
  <si>
    <t>C++, Makefile, HTML, Shell, TeX, C</t>
  </si>
  <si>
    <t>Hierarchical diagrams, CSV logs</t>
  </si>
  <si>
    <t>Used in smart grid simulation setups</t>
  </si>
  <si>
    <t>Hybrid dynamic-discrete modeling</t>
  </si>
  <si>
    <t>Control + grid modeling</t>
  </si>
  <si>
    <t>Limited industry use, academic interfaces</t>
  </si>
  <si>
    <t>https://github.com/CIFASIS/power-devs</t>
  </si>
  <si>
    <t>https://sourceforge.net/projects/powerdevs/</t>
  </si>
  <si>
    <t>Best for advanced simulation use cases</t>
  </si>
  <si>
    <t>OpenModelica</t>
  </si>
  <si>
    <t>Open Source Modelica Consortium</t>
  </si>
  <si>
    <t>Modelica Simulation Framework</t>
  </si>
  <si>
    <t>Dynamic modeling of electrical systems</t>
  </si>
  <si>
    <t>Modelica, C, C++, CMake, Makefile, GAP</t>
  </si>
  <si>
    <t>FMI, Python, CSV</t>
  </si>
  <si>
    <t>GNU AGPL 3 (OSMC-PL)</t>
  </si>
  <si>
    <t>Strong academic presence</t>
  </si>
  <si>
    <t>Supports dynamic analysis for DSOs</t>
  </si>
  <si>
    <t>Co-simulation, hybrid system modeling</t>
  </si>
  <si>
    <t>Protection, control, and multi-domain studies</t>
  </si>
  <si>
    <t>High complexity and abstract modeling</t>
  </si>
  <si>
    <t>https://github.com/OpenModelica/OpenModelica</t>
  </si>
  <si>
    <t>https://www.openmodelica.org/</t>
  </si>
  <si>
    <t>Strong for dynamic system integration</t>
  </si>
  <si>
    <t>DIETERpy</t>
  </si>
  <si>
    <t>DIW Berlin</t>
  </si>
  <si>
    <t>Dispatch &amp; Investment Model</t>
  </si>
  <si>
    <t>Techno-economic power system modeling</t>
  </si>
  <si>
    <t>Python, GAMS, Jupyter Notebook</t>
  </si>
  <si>
    <t>CSV, GDX</t>
  </si>
  <si>
    <t>DER and RES integration modeling</t>
  </si>
  <si>
    <t>Hourly dispatch and investment model</t>
  </si>
  <si>
    <t>RES cost minimization scenarios</t>
  </si>
  <si>
    <t>Requires GAMS license for large models</t>
  </si>
  <si>
    <t>https://gitlab.com/diw-evu/dieter_public/dieterpy</t>
  </si>
  <si>
    <t>https://www.diw.de/de/diw_01.c.824266.de/publikationen/externe_referierte_aufsaetze/2021_0000/dieterpy__a_python_framework_for_the_dispatch_and_investment_evaluation_tool_with_endogenous_renewables.html</t>
  </si>
  <si>
    <t>DSO flexibility modeling via DER</t>
  </si>
  <si>
    <t>OSeMOSYS</t>
  </si>
  <si>
    <t>KTH Royal Institute of Technology (OseMOSYS consortium)</t>
  </si>
  <si>
    <t>Open Source Energy Modelling System</t>
  </si>
  <si>
    <t>Long-term energy planning and optimization</t>
  </si>
  <si>
    <t>Python, GAMS, HTML, Jupyter Notebook, Ruby, CSS</t>
  </si>
  <si>
    <t>GNU MathProg, CBC, Excel, Python</t>
  </si>
  <si>
    <t>Global energy researchers</t>
  </si>
  <si>
    <t>Used for sustainable energy transition plans</t>
  </si>
  <si>
    <t>Open structure, flexible time slices</t>
  </si>
  <si>
    <t>Government policy and infrastructure modeling</t>
  </si>
  <si>
    <t>Limited graphical interface</t>
  </si>
  <si>
    <t>https://github.com/OSeMOSYS</t>
  </si>
  <si>
    <t>http://www.osemosys.org/</t>
  </si>
  <si>
    <t>Widely adopted for national and subnational models</t>
  </si>
  <si>
    <t>lemlab</t>
  </si>
  <si>
    <t>TU Munich</t>
  </si>
  <si>
    <t>Local Energy Market Laboratory</t>
  </si>
  <si>
    <t>Multi-agent market simulation</t>
  </si>
  <si>
    <t>CSV, Python APIs</t>
  </si>
  <si>
    <t>GNU GPL 3</t>
  </si>
  <si>
    <t>Research group</t>
  </si>
  <si>
    <t>Models decentralized energy trade</t>
  </si>
  <si>
    <t>Market clearing, agent flexibility</t>
  </si>
  <si>
    <t>Energy community behavior simulation</t>
  </si>
  <si>
    <t>Complex for beginners</t>
  </si>
  <si>
    <t>https://github.com/tum-ewk/lemlab</t>
  </si>
  <si>
    <t>https://lemlab.readthedocs.io/en/latest/</t>
  </si>
  <si>
    <t>Highly flexible energy agent framework</t>
  </si>
  <si>
    <t>ficus</t>
  </si>
  <si>
    <t>ficus Energy Optimization</t>
  </si>
  <si>
    <t>Local energy system MILP optimization</t>
  </si>
  <si>
    <t>CSV</t>
  </si>
  <si>
    <t>Research-based</t>
  </si>
  <si>
    <t>Supports low-carbon infrastructure planning</t>
  </si>
  <si>
    <t>Storage, heat, and power optimization</t>
  </si>
  <si>
    <t>Urban energy system studies</t>
  </si>
  <si>
    <t>Requires solver backend</t>
  </si>
  <si>
    <t>https://github.com/yabata/ficus</t>
  </si>
  <si>
    <t>https://ficus.readthedocs.io/en/latest/</t>
  </si>
  <si>
    <t>Effective tool for multi-carrier community energy</t>
  </si>
  <si>
    <t>Energy Transition Model</t>
  </si>
  <si>
    <t>Quintel</t>
  </si>
  <si>
    <t>ETM Platform</t>
  </si>
  <si>
    <t>Interactive energy transition scenario analysis</t>
  </si>
  <si>
    <t>Ruby, CoffeeScript, JavaScript, Haml, Sass, Liquid</t>
  </si>
  <si>
    <t>Web UI, CSV export</t>
  </si>
  <si>
    <t>Free (basic use)</t>
  </si>
  <si>
    <t>Active non-profit ecosystem</t>
  </si>
  <si>
    <t>Supports low-carbon transition awareness</t>
  </si>
  <si>
    <t>Graphical editor, sector analysis</t>
  </si>
  <si>
    <t>Community energy planning, awareness</t>
  </si>
  <si>
    <t>Custom data upload limited</t>
  </si>
  <si>
    <t>https://github.com/quintel/etmodel</t>
  </si>
  <si>
    <t>https://energytransitionmodel.com</t>
  </si>
  <si>
    <t>User-friendly scenario builder</t>
  </si>
  <si>
    <t>OpenStudio</t>
  </si>
  <si>
    <t>OpenStudio Suite</t>
  </si>
  <si>
    <t>Building energy modeling with EnergyPlus</t>
  </si>
  <si>
    <t>C++, Ruby, XSLT, CMake, SWIG, Jupyter Notebook</t>
  </si>
  <si>
    <t>SketchUp, CSV, EnergyPlus</t>
  </si>
  <si>
    <t>Open Studio (Non standard license)</t>
  </si>
  <si>
    <t>Strong in building modeling</t>
  </si>
  <si>
    <t>Detailed modeling of energy use in buildings</t>
  </si>
  <si>
    <t>Visual modeling, HVAC simulation</t>
  </si>
  <si>
    <t>District/building energy plans</t>
  </si>
  <si>
    <t>Complex for non-engineers</t>
  </si>
  <si>
    <t>https://github.com/NREL/OpenStudio</t>
  </si>
  <si>
    <t>https://openstudio.net</t>
  </si>
  <si>
    <t>Bridges building design with simulation</t>
  </si>
  <si>
    <t>ESP-r</t>
  </si>
  <si>
    <t>University of Strathclyde</t>
  </si>
  <si>
    <t>Integrated environmental performance simulation</t>
  </si>
  <si>
    <t>Fortran, C, Perl, GLSL, SQLPL, C++</t>
  </si>
  <si>
    <t>CSV, internal schema</t>
  </si>
  <si>
    <t>Niche academic group</t>
  </si>
  <si>
    <t>Detailed heat, air, moisture simulation</t>
  </si>
  <si>
    <t>Co-simulation of energy, airflow, control</t>
  </si>
  <si>
    <t>Research, academic studies</t>
  </si>
  <si>
    <t>Legacy interface</t>
  </si>
  <si>
    <t>https://github.com/ESP-rCommunity/ESP-rSource</t>
  </si>
  <si>
    <t>https://www.esru.strath.ac.uk/applications/ESP-r/Features.html</t>
  </si>
  <si>
    <t>Rich but complex research-grade simulator</t>
  </si>
  <si>
    <t>NetLogo</t>
  </si>
  <si>
    <t>Northwestern University</t>
  </si>
  <si>
    <t>Agent-based modeling</t>
  </si>
  <si>
    <t>HTML, Scala, Java, Mustache, NetLogo, XSLT</t>
  </si>
  <si>
    <t>CSV, GIS extensions</t>
  </si>
  <si>
    <t>GPL 2</t>
  </si>
  <si>
    <t>Strong educational base</t>
  </si>
  <si>
    <t>Simulates community energy behaviors</t>
  </si>
  <si>
    <t>User-friendly agent modeling</t>
  </si>
  <si>
    <t>Software used by social engineers for education</t>
  </si>
  <si>
    <t>Not physically detailed</t>
  </si>
  <si>
    <t>https://github.com/NetLogo/NetLogo</t>
  </si>
  <si>
    <t>https://ccl.northwestern.edu/netlogo/</t>
  </si>
  <si>
    <t>Excellent for social simulation of energy</t>
  </si>
  <si>
    <t>Open Energy Transition (OET)</t>
  </si>
  <si>
    <t>OET Community</t>
  </si>
  <si>
    <t xml:space="preserve"> Python, Jupyter Notebook, HTML, JavaScript, TypeScript</t>
  </si>
  <si>
    <t>Open energy data + community models</t>
  </si>
  <si>
    <t>PyPSA, open datasets</t>
  </si>
  <si>
    <t>MIT, GNU AGPL 3, CCA etc.</t>
  </si>
  <si>
    <t>Community and researchers</t>
  </si>
  <si>
    <t>Supports transparent energy transition</t>
  </si>
  <si>
    <t>Scalable, reproducible grid models</t>
  </si>
  <si>
    <t>Global to local energy scenarios</t>
  </si>
  <si>
    <t>Data processing effort required</t>
  </si>
  <si>
    <t>https://github.com/open-energy-transition</t>
  </si>
  <si>
    <t>https://openenergytransition.org/</t>
  </si>
  <si>
    <t>Federated open-source modeling movement</t>
  </si>
  <si>
    <t>Engage (NREL)</t>
  </si>
  <si>
    <t>National Renewable Energy Laboratory</t>
  </si>
  <si>
    <t>Engage Energy Modeling Tool</t>
  </si>
  <si>
    <t>Community energy modeling with Calliope backend</t>
  </si>
  <si>
    <t>JavaScript, Python, CSS, SCSS, Less, HTML</t>
  </si>
  <si>
    <t>Calliope, CSV</t>
  </si>
  <si>
    <t>Supports state and tribal planning</t>
  </si>
  <si>
    <t>Local energy pathways, scenarios</t>
  </si>
  <si>
    <t>Community planning and education</t>
  </si>
  <si>
    <t>https://github.com/NREL/engage</t>
  </si>
  <si>
    <t>https://engage.nrel.gov/en/login/?next=/en/</t>
  </si>
  <si>
    <t>US-focused application of Calliope</t>
  </si>
  <si>
    <t>NEMO</t>
  </si>
  <si>
    <t>SEI (Stockholm Environment Institute)</t>
  </si>
  <si>
    <t>Next Energy Modeling System for Optimization</t>
  </si>
  <si>
    <t>High-performance energy system optimization</t>
  </si>
  <si>
    <t>GDX, GAMS, CSV</t>
  </si>
  <si>
    <t>Academic and policy use</t>
  </si>
  <si>
    <t>Informs clean energy transition</t>
  </si>
  <si>
    <t>Long-term policy modeling</t>
  </si>
  <si>
    <t>DSO/community energy strategy</t>
  </si>
  <si>
    <t>Requires GAMS and solvers</t>
  </si>
  <si>
    <t>https://github.com/sei-international/NemoMod.jl</t>
  </si>
  <si>
    <t>https://www.sei.org/tools/nemo-the-next-energy-modeling-system-for-optimization/</t>
  </si>
  <si>
    <t>High-performance successor to OSeMOSYS</t>
  </si>
  <si>
    <t>City Energy Analyst (CEA)</t>
  </si>
  <si>
    <t>ETH Zurich</t>
  </si>
  <si>
    <t>City Energy Analyst</t>
  </si>
  <si>
    <t>Urban Building Energy Modeling for Urban Decarbonisation Planning &amp; Design with the Open-Source</t>
  </si>
  <si>
    <t>Python, Jupyter Notebook, HTML, NSIS, Shell, Batchfile, Dockerfile</t>
  </si>
  <si>
    <t>GIS, 3D CityGML, Excel, JSON</t>
  </si>
  <si>
    <t>Academic and municipalities</t>
  </si>
  <si>
    <t>Enables sustainable urban energy systems</t>
  </si>
  <si>
    <t>3D simulation, emissions accounting</t>
  </si>
  <si>
    <t>Community and neighborhood energy design</t>
  </si>
  <si>
    <t>Needs GIS knowledge</t>
  </si>
  <si>
    <t>https://github.com/architecture-building-systems/CityEnergyAnalyst</t>
  </si>
  <si>
    <t>https://cityenergyanalyst.com</t>
  </si>
  <si>
    <t>Excellent for district-scale energy scenarios</t>
  </si>
  <si>
    <t>OCHRE</t>
  </si>
  <si>
    <t>Open-source Coupled Home Energy Resources</t>
  </si>
  <si>
    <t>Simulation of end-use loads and DERs</t>
  </si>
  <si>
    <t>CSV, API</t>
  </si>
  <si>
    <t xml:space="preserve">BSD 3-Clause </t>
  </si>
  <si>
    <t>Niche developer audience</t>
  </si>
  <si>
    <t>DER and load balancing modeling</t>
  </si>
  <si>
    <t>DER coordination, time-series simulation</t>
  </si>
  <si>
    <t>Detailed smart home energy simulations</t>
  </si>
  <si>
    <t>Still maturing as a platform</t>
  </si>
  <si>
    <t>https://github.com/NREL/OCHRE</t>
  </si>
  <si>
    <t>https://www.nrel.gov/grid/ochre</t>
  </si>
  <si>
    <t>Supports modern grid-interactive buildings</t>
  </si>
  <si>
    <t>Modelica Buildings Library</t>
  </si>
  <si>
    <t>Lawrence Berkeley National Laboratory</t>
  </si>
  <si>
    <t>Buildings Library</t>
  </si>
  <si>
    <t>Dynamic simulation of building systems</t>
  </si>
  <si>
    <t>Modelica, C, HTML, Python, Java, Motoko</t>
  </si>
  <si>
    <t>Dymola, OpenModelica, FMI</t>
  </si>
  <si>
    <t>Academic and industrial</t>
  </si>
  <si>
    <t>System-level efficiency modeling</t>
  </si>
  <si>
    <t>HVAC, thermal loads, control logic</t>
  </si>
  <si>
    <t>Academic and industry R&amp;D</t>
  </si>
  <si>
    <t>Requires Modelica expertise</t>
  </si>
  <si>
    <t>https://github.com/lbl-srg/modelica-buildings</t>
  </si>
  <si>
    <t>(not accesible in EU) https://simulationresearch.lbl.gov/modelica/</t>
  </si>
  <si>
    <t>Rich in validated HVAC models</t>
  </si>
  <si>
    <t>AutoBEM</t>
  </si>
  <si>
    <t>Oak Ridge National Laboratory (ORNL)</t>
  </si>
  <si>
    <t>Automatic Building Energy Modeling</t>
  </si>
  <si>
    <t>Massive-scale building energy modeling</t>
  </si>
  <si>
    <t>EnergyPlus, GIS, OpenStreetMap</t>
  </si>
  <si>
    <t>Institutional and academic</t>
  </si>
  <si>
    <t>Enables scalable urban retrofit analysis</t>
  </si>
  <si>
    <t>Auto geometry creation, simulation pipeline</t>
  </si>
  <si>
    <t>Urban building stock modeling</t>
  </si>
  <si>
    <t>Heavy on GIS/data dependencies</t>
  </si>
  <si>
    <t>https://github.com/ORNL-BTRIC/AutoBEM-DynamicArchetypes</t>
  </si>
  <si>
    <t>https://www.ornl.gov/content/automatic-building-energy-modeling-autobem</t>
  </si>
  <si>
    <t>City-scale building modeling solution</t>
  </si>
  <si>
    <t>ETHOS.FINE</t>
  </si>
  <si>
    <t>Forschungzentrum Jülich</t>
  </si>
  <si>
    <t>ETHOS Framework</t>
  </si>
  <si>
    <t>Multi-energy system optimization framework</t>
  </si>
  <si>
    <t>CSV, PyPSA, pandas</t>
  </si>
  <si>
    <t>Emerging academic use</t>
  </si>
  <si>
    <t>Supports decarbonization modeling</t>
  </si>
  <si>
    <t>Modular topology, mixed-integer solver support</t>
  </si>
  <si>
    <t>Household-level energy planning</t>
  </si>
  <si>
    <t>Newer framework, less documentation</t>
  </si>
  <si>
    <t>https://github.com/FZJ-IEK3-VSA/FINE</t>
  </si>
  <si>
    <t>https://vsa-fine.readthedocs.io/en/latest/</t>
  </si>
  <si>
    <t>Designed for flexibility in building/grid modeling</t>
  </si>
  <si>
    <t>ResStock</t>
  </si>
  <si>
    <t>Residential Stock Energy Modeling</t>
  </si>
  <si>
    <t>Simulation of energy performance across residential building stock</t>
  </si>
  <si>
    <t>Ruby, Python</t>
  </si>
  <si>
    <t>OpenStudio, EnergyPlus, CSV</t>
  </si>
  <si>
    <t>Non Standard license (BSD 3-Clause)</t>
  </si>
  <si>
    <t>Evaluates retrofit potential and policy scenarios</t>
  </si>
  <si>
    <t>Monte Carlo sampling, large-scale simulations</t>
  </si>
  <si>
    <t>Policymaking, retrofit scenario analysis</t>
  </si>
  <si>
    <t>Requires OpenStudio and advanced setup</t>
  </si>
  <si>
    <t>https://github.com/NREL/resstock</t>
  </si>
  <si>
    <t>https://resstock.nrel.gov/</t>
  </si>
  <si>
    <t>Ideal for U.S.-based housing stock simulations</t>
  </si>
  <si>
    <t>Load Profile Generator</t>
  </si>
  <si>
    <t>Simulation of Electricity and Domestic Hot water Demand</t>
  </si>
  <si>
    <t>Evaluation of Energy demand of households on unit level</t>
  </si>
  <si>
    <t>Domestic profiles of Families in specific geographic areas</t>
  </si>
  <si>
    <t>Academic uses</t>
  </si>
  <si>
    <t>No realtime silulation</t>
  </si>
  <si>
    <t>https://github.com/FZJ-IEK3-VSA/LoadProfileGenerator</t>
  </si>
  <si>
    <t>https://www.loadprofilegenerator.de/</t>
  </si>
  <si>
    <t>2022 (earlier versions available)</t>
  </si>
  <si>
    <t>Hopsan</t>
  </si>
  <si>
    <t>Linköping University</t>
  </si>
  <si>
    <t>Hydraulic/Mechatronics Systems</t>
  </si>
  <si>
    <t>Simulation of fluid and mechatronic systems</t>
  </si>
  <si>
    <t>Mathematica, C++, C, HTML, Python,,Qmake</t>
  </si>
  <si>
    <t>FMU, XML</t>
  </si>
  <si>
    <t>Apache 2.0, GNU GPL 3</t>
  </si>
  <si>
    <t>Growing academic use</t>
  </si>
  <si>
    <t>Used for energy transfer dynamics in systems</t>
  </si>
  <si>
    <t>Simulation-based optimization, frequency analysis</t>
  </si>
  <si>
    <t>System prototyping, control tuning</t>
  </si>
  <si>
    <t>Focus on fluid/mechatronics, not whole system modeling</t>
  </si>
  <si>
    <t>https://github.com/Hopsan/hopsan</t>
  </si>
  <si>
    <t>https://liu.se/en/research/hopsan</t>
  </si>
  <si>
    <t>ASL (Advanced Simulation Library)</t>
  </si>
  <si>
    <t>Avtech Scientific</t>
  </si>
  <si>
    <t>ASL OpenCL Framework</t>
  </si>
  <si>
    <t>Multi-physics simulation engine</t>
  </si>
  <si>
    <t xml:space="preserve">C++, CMake, C </t>
  </si>
  <si>
    <t>OpenCL, GPU compatible</t>
  </si>
  <si>
    <t>Limited open support</t>
  </si>
  <si>
    <t>Optimized simulation for performance and power modeling</t>
  </si>
  <si>
    <t>Hardware-accelerated, mesh-free modeling</t>
  </si>
  <si>
    <t>CFD, electromagnetics, thermal studies</t>
  </si>
  <si>
    <t>Requires OpenCL/GPU expertise</t>
  </si>
  <si>
    <t>https://github.com/AvtechScientific/ASL</t>
  </si>
  <si>
    <t>http://asl.avtechscientific.com/</t>
  </si>
  <si>
    <t>Focused on high-performance applications</t>
  </si>
  <si>
    <t>Agros2D</t>
  </si>
  <si>
    <t>University of West Bohemia</t>
  </si>
  <si>
    <t>Agros2D Simulator</t>
  </si>
  <si>
    <t>Coupled field analysis in 2D</t>
  </si>
  <si>
    <t>C++, Python, Smarty, C, Cython, XSLT</t>
  </si>
  <si>
    <t>VTK, XML</t>
  </si>
  <si>
    <t>Active academic</t>
  </si>
  <si>
    <t>Material-efficient energy design</t>
  </si>
  <si>
    <t>Non-linear, adaptive mesh FEM</t>
  </si>
  <si>
    <t>Thermal/electrical/mechanical studies</t>
  </si>
  <si>
    <t>2D only</t>
  </si>
  <si>
    <t>https://github.com/artap-framework/agrossuite</t>
  </si>
  <si>
    <t>http://www.agros2d.org</t>
  </si>
  <si>
    <t>PowerSimulations.jl</t>
  </si>
  <si>
    <t>SIENNA Project</t>
  </si>
  <si>
    <t>Production cost simulation and dispatch</t>
  </si>
  <si>
    <t>PowerModels.jl, CSV</t>
  </si>
  <si>
    <t>Niche research group</t>
  </si>
  <si>
    <t>Optimizes grid operation scenarios</t>
  </si>
  <si>
    <t>Time-series unit commitment, stochastic modeling</t>
  </si>
  <si>
    <t>Day-ahead markets, flexibility analysis</t>
  </si>
  <si>
    <t>Requires familiarity with Julia</t>
  </si>
  <si>
    <t>https://github.com/NREL-Sienna/PowerSimulations.jl</t>
  </si>
  <si>
    <t>https://nrel-sienna.github.io/Sienna/</t>
  </si>
  <si>
    <t>Built on PowerModels.jl for operations</t>
  </si>
  <si>
    <t>Balmorel</t>
  </si>
  <si>
    <t>DTU, Nordic Energy Research</t>
  </si>
  <si>
    <t>Baltic/Nordic Power Market</t>
  </si>
  <si>
    <t>Market-based energy system simulation</t>
  </si>
  <si>
    <t>Jupyter Notebook, GAMS, HTML</t>
  </si>
  <si>
    <t>CSV, GAMS</t>
  </si>
  <si>
    <t>ISC</t>
  </si>
  <si>
    <t>Regional use</t>
  </si>
  <si>
    <t>Models policy and infrastructure</t>
  </si>
  <si>
    <t>CHP, investment planning, policy modeling</t>
  </si>
  <si>
    <t>Market integration studies</t>
  </si>
  <si>
    <t>Complex GAMS requirement</t>
  </si>
  <si>
    <t>https://github.com/balmorelcommunity/Balmorel</t>
  </si>
  <si>
    <t>https://balmorelcommunity.github.io/Balmorel/index.html</t>
  </si>
  <si>
    <t>TEMOA</t>
  </si>
  <si>
    <t>NC State University</t>
  </si>
  <si>
    <t>Energy Modeling Framework</t>
  </si>
  <si>
    <t>Stochastic and deterministic energy system optimization</t>
  </si>
  <si>
    <t>SQLite, CSV, Excel</t>
  </si>
  <si>
    <t>GNU GPL 2</t>
  </si>
  <si>
    <t>Supports resilient planning</t>
  </si>
  <si>
    <t>Scenario analysis, long-term optimization</t>
  </si>
  <si>
    <t>Policy studies, energy trade-offs</t>
  </si>
  <si>
    <t>Requires AMPL knowledge</t>
  </si>
  <si>
    <t>https://github.com/temoaproject/temoa</t>
  </si>
  <si>
    <t>https://temoacloud.com/</t>
  </si>
  <si>
    <t>MATPOWER</t>
  </si>
  <si>
    <t>Cornell University</t>
  </si>
  <si>
    <t>MATPOWER Project</t>
  </si>
  <si>
    <t>Steady-state power flow and OPF simulation</t>
  </si>
  <si>
    <t>MATLAB, CSV</t>
  </si>
  <si>
    <t>Strong academic use</t>
  </si>
  <si>
    <t>Supports optimal planning</t>
  </si>
  <si>
    <t>OPF, DC/AC power flow</t>
  </si>
  <si>
    <t>Research and academic teaching</t>
  </si>
  <si>
    <t>Requires MATLAB</t>
  </si>
  <si>
    <t>https://github.com/MATPOWER/matpower</t>
  </si>
  <si>
    <t>https://matpower.org</t>
  </si>
  <si>
    <t>PYPOWER</t>
  </si>
  <si>
    <t>University of Wisconsin</t>
  </si>
  <si>
    <t>Port of MATPOWER</t>
  </si>
  <si>
    <t>Python port of MATPOWER</t>
  </si>
  <si>
    <t>NumPy, SciPy</t>
  </si>
  <si>
    <t>Used for educational purposes</t>
  </si>
  <si>
    <t>DC/AC power flow, OPF</t>
  </si>
  <si>
    <t>Academic testing, power flow examples</t>
  </si>
  <si>
    <t>Very low activity</t>
  </si>
  <si>
    <t>https://github.com/rwl/PYPOWER</t>
  </si>
  <si>
    <t>https://rwl.github.io/PYPOWER/api/</t>
  </si>
  <si>
    <t>PowerModels.jl</t>
  </si>
  <si>
    <t>Los Alamos National Laboratory</t>
  </si>
  <si>
    <t>PowerModels</t>
  </si>
  <si>
    <t>Optimization of AC/DC grid systems</t>
  </si>
  <si>
    <t>JuMP, CSV</t>
  </si>
  <si>
    <t>Custom License</t>
  </si>
  <si>
    <t>Supports efficient grid operation</t>
  </si>
  <si>
    <t>Relaxations, extensibility</t>
  </si>
  <si>
    <t>Academic optimization studies</t>
  </si>
  <si>
    <t>Requires modeling expertise</t>
  </si>
  <si>
    <t>https://github.com/lanl-ansi/PowerModels.jl</t>
  </si>
  <si>
    <t>https://lanl-ansi.github.io/PowerModels.jl/stable/</t>
  </si>
  <si>
    <t>StochSD</t>
  </si>
  <si>
    <t>Uppsala University, Sweden</t>
  </si>
  <si>
    <t>Stochastic System Dynamics</t>
  </si>
  <si>
    <t>Stochastic simulation and decision modeling</t>
  </si>
  <si>
    <t>HTML, JavaScript</t>
  </si>
  <si>
    <t>GUI, CSV</t>
  </si>
  <si>
    <t>Educational use</t>
  </si>
  <si>
    <t>Supports uncertainty modeling</t>
  </si>
  <si>
    <t>Monte Carlo, UI for models</t>
  </si>
  <si>
    <t>Teaching, simplified policy testing</t>
  </si>
  <si>
    <t>Not tailored to power systems</t>
  </si>
  <si>
    <t>https://github.com/stochsd/stochsd</t>
  </si>
  <si>
    <t>https://stochsd.sourceforge.io/</t>
  </si>
  <si>
    <t>Used in systems teaching</t>
  </si>
  <si>
    <t>DECO2</t>
  </si>
  <si>
    <t> University of Surrey, University of Nottingham Malaysia, and University of Tokyo</t>
  </si>
  <si>
    <t>Decarbonisation Planning</t>
  </si>
  <si>
    <t>Energy system planning with NETs</t>
  </si>
  <si>
    <t>Excel</t>
  </si>
  <si>
    <t>Supports CO₂ removal strategy evaluation</t>
  </si>
  <si>
    <t>Includes BECCS, DAC, bioenergy</t>
  </si>
  <si>
    <t>Educational modeling, policy assessments</t>
  </si>
  <si>
    <t>Limited scalability</t>
  </si>
  <si>
    <t>https://github.com/mchlshort/DECO2</t>
  </si>
  <si>
    <t>https://www.surrey.ac.uk/research-projects/software-framework-optimal-decarbonisation-planning-asean-countries</t>
  </si>
  <si>
    <t>Code_Saturne</t>
  </si>
  <si>
    <t>Électricité de France (EDF)</t>
  </si>
  <si>
    <t>CFD for energy simulation</t>
  </si>
  <si>
    <t>Thermal-fluid and turbulence modeling</t>
  </si>
  <si>
    <t>C++, C, Python, Fortran, Cuda, M4</t>
  </si>
  <si>
    <t>SALOME, OpenFOAM</t>
  </si>
  <si>
    <t>Engineering and academic</t>
  </si>
  <si>
    <t>Thermal performance simulation</t>
  </si>
  <si>
    <t>Mesh generator, GUI front-end</t>
  </si>
  <si>
    <t>Hydraulic and HVAC modeling</t>
  </si>
  <si>
    <t>Not specialized in power grids</t>
  </si>
  <si>
    <t>https://github.com/code-saturne/code_saturne/tree/v9.0</t>
  </si>
  <si>
    <t>https://www.code-saturne.org</t>
  </si>
  <si>
    <t>REHO</t>
  </si>
  <si>
    <t>EPFL</t>
  </si>
  <si>
    <t>Renewable Energy Hub Optimizer</t>
  </si>
  <si>
    <t>Decision support tool for sustainable urban energy system planning</t>
  </si>
  <si>
    <t>Python, AMPL, TeX, NMODL</t>
  </si>
  <si>
    <t>CSV, JSON</t>
  </si>
  <si>
    <t>Optimizes renewable energy integration</t>
  </si>
  <si>
    <t>MILP optimization, energy hubs</t>
  </si>
  <si>
    <t>Community energy planning</t>
  </si>
  <si>
    <t>Requires modeling background</t>
  </si>
  <si>
    <t>https://github.com/IPESE/REHO</t>
  </si>
  <si>
    <t>https://reho.readthedocs.io/en/main/sections/1_Overview.html</t>
  </si>
  <si>
    <t>Loomio</t>
  </si>
  <si>
    <t>Loomio Cooperative Limited</t>
  </si>
  <si>
    <t>Collaborative Decision Platform</t>
  </si>
  <si>
    <t>Group discussion and decision-making</t>
  </si>
  <si>
    <t>Ruby, Vue, JavaScript, Haml, CSS, HTML</t>
  </si>
  <si>
    <t>Email, Webhooks</t>
  </si>
  <si>
    <t>Free / Paid</t>
  </si>
  <si>
    <t>Community groups</t>
  </si>
  <si>
    <t>Enables grassroots planning</t>
  </si>
  <si>
    <t>Proposals, polls, consensus tools</t>
  </si>
  <si>
    <t>Energy coop decision support</t>
  </si>
  <si>
    <t>Limited for technical planning</t>
  </si>
  <si>
    <t>https://github.com/loomio/loomio</t>
  </si>
  <si>
    <t>https://www.loomio.org</t>
  </si>
  <si>
    <t>Polis</t>
  </si>
  <si>
    <t>The Computational Democracy Project</t>
  </si>
  <si>
    <t>Opinion Clustering &amp; Consensus</t>
  </si>
  <si>
    <t>Crowd-sourced deliberation</t>
  </si>
  <si>
    <t>Python, Jupyter Notebook, JavaScript, TypeScript, Clojure, CSS</t>
  </si>
  <si>
    <t>Supports inclusive policy formation</t>
  </si>
  <si>
    <t>Opinion mapping, feedback loops</t>
  </si>
  <si>
    <t>Community energy dialogues</t>
  </si>
  <si>
    <t>Not analytical</t>
  </si>
  <si>
    <t>https://github.com/compdemocracy/polis</t>
  </si>
  <si>
    <t>https://pol.is</t>
  </si>
  <si>
    <t>OPRA</t>
  </si>
  <si>
    <t>New York University, Rensselaer Polytechnic Institute, Stanford University</t>
  </si>
  <si>
    <t>Preference Aggregation Platform</t>
  </si>
  <si>
    <t>Preference collection &amp; voting</t>
  </si>
  <si>
    <t>HTML, Python, JavaScript, CSS</t>
  </si>
  <si>
    <t>Inactive</t>
  </si>
  <si>
    <t>Structured collective decisions</t>
  </si>
  <si>
    <t>Voting, consensus algorithms</t>
  </si>
  <si>
    <t>Energy community governance</t>
  </si>
  <si>
    <t>Small user base</t>
  </si>
  <si>
    <t>https://github.com/PrefPy/opra</t>
  </si>
  <si>
    <t>https://cdn.aaai.org/ojs/17996/17996-13-21490-1-2-20210518.pdf</t>
  </si>
  <si>
    <t>SIREN Toolkit</t>
  </si>
  <si>
    <t>Sustainable Energy Now (SEN)</t>
  </si>
  <si>
    <t>Renewable Scenario Planning</t>
  </si>
  <si>
    <t>Renewable scenario modeling</t>
  </si>
  <si>
    <t>Python, HTML</t>
  </si>
  <si>
    <t>Stable</t>
  </si>
  <si>
    <t>Western Australia local groups</t>
  </si>
  <si>
    <t>Promotes sustainable system transition</t>
  </si>
  <si>
    <t>Hourly demand + generation modeling</t>
  </si>
  <si>
    <t>Community education and planning</t>
  </si>
  <si>
    <t>Basic visual modeling</t>
  </si>
  <si>
    <t>https://github.com/ozsolarwind/siren</t>
  </si>
  <si>
    <t>https://sen.asn.au/</t>
  </si>
  <si>
    <t>OnSSET</t>
  </si>
  <si>
    <t>KTH Royal Institute of Technology</t>
  </si>
  <si>
    <t>Electrification Planning</t>
  </si>
  <si>
    <t>Least-cost electrification toolkit</t>
  </si>
  <si>
    <t>CSV, GIS</t>
  </si>
  <si>
    <t>Supports energy access in underserved areas</t>
  </si>
  <si>
    <t>Spatial modeling, demand tiers</t>
  </si>
  <si>
    <t>Energy access planning</t>
  </si>
  <si>
    <t>Needs geospatial data</t>
  </si>
  <si>
    <t>https://github.com/OnSSET/OnSSET</t>
  </si>
  <si>
    <t>http://www.onsset.org</t>
  </si>
  <si>
    <t>Kill Bill</t>
  </si>
  <si>
    <t>Kill Bill Project</t>
  </si>
  <si>
    <t>Kill Bill Billing Stack</t>
  </si>
  <si>
    <t>Subscription and usage-based billing</t>
  </si>
  <si>
    <t>Java, JavaScript, CSS, Shell, HTML, PLpgSQL</t>
  </si>
  <si>
    <t>REST API, plugins</t>
  </si>
  <si>
    <t>Active OSS community</t>
  </si>
  <si>
    <t>Flexible billing supports energy transition</t>
  </si>
  <si>
    <t>Multi-tenant, invoicing, payment gateway support</t>
  </si>
  <si>
    <t>Community energy subscription billing</t>
  </si>
  <si>
    <t>Requires setup</t>
  </si>
  <si>
    <t>https://github.com/killbill</t>
  </si>
  <si>
    <t>https://killbill.io</t>
  </si>
  <si>
    <t>UniBee</t>
  </si>
  <si>
    <t>UniBee Dev Team</t>
  </si>
  <si>
    <t>UniBee Billing Software</t>
  </si>
  <si>
    <t>Invoicing and subscription billing</t>
  </si>
  <si>
    <t>Go, TypeScript, Python, MDX</t>
  </si>
  <si>
    <t>CSV, REST</t>
  </si>
  <si>
    <t>Automates small-scale billing</t>
  </si>
  <si>
    <t>Invoices, analytics</t>
  </si>
  <si>
    <t>Simple community billing</t>
  </si>
  <si>
    <t>https://github.com/UniBee-Billing</t>
  </si>
  <si>
    <t>https://unibee.dev</t>
  </si>
  <si>
    <t>Lago</t>
  </si>
  <si>
    <t>Lago Team</t>
  </si>
  <si>
    <t>Open-source Billing</t>
  </si>
  <si>
    <t>Usage-based and recurring billing</t>
  </si>
  <si>
    <t>Go, Shell, Dockerfile, Procfile</t>
  </si>
  <si>
    <t>Webhook, REST</t>
  </si>
  <si>
    <t>Enables energy-aware pricing</t>
  </si>
  <si>
    <t>Pricing engine, invoicing, analytics</t>
  </si>
  <si>
    <t>Real-time billing in energy coops</t>
  </si>
  <si>
    <t>Newer project</t>
  </si>
  <si>
    <t>https://github.com/getlago/lago</t>
  </si>
  <si>
    <t>https://www.getlago.com</t>
  </si>
  <si>
    <t>ERPNext</t>
  </si>
  <si>
    <t>Frappe Technologies</t>
  </si>
  <si>
    <t>ERP with billing, invoicing, and accounting</t>
  </si>
  <si>
    <t>Python, JavaScript, HTML</t>
  </si>
  <si>
    <t>REST, CSV, Excel</t>
  </si>
  <si>
    <t>Large open-source ERP community</t>
  </si>
  <si>
    <t>Supports financial visibility for energy</t>
  </si>
  <si>
    <t>Subscription, invoices, payments</t>
  </si>
  <si>
    <t>Billing for small energy co-ops</t>
  </si>
  <si>
    <t>Generic ERP, needs customization</t>
  </si>
  <si>
    <t>https://github.com/frappe/erpnext</t>
  </si>
  <si>
    <t>https://frappe.io/erpnext</t>
  </si>
  <si>
    <t>iDempiere</t>
  </si>
  <si>
    <t>Global OSS community</t>
  </si>
  <si>
    <t>ERP + CRM + SCM</t>
  </si>
  <si>
    <t>Modular business platform including billing</t>
  </si>
  <si>
    <t>Java, JavaScript, Fluent, PLpgSQL, HTML, CSS</t>
  </si>
  <si>
    <t>REST, CSV</t>
  </si>
  <si>
    <t>Enterprise ERP users</t>
  </si>
  <si>
    <t>Supports scalable billing</t>
  </si>
  <si>
    <t>Multi-client billing engine</t>
  </si>
  <si>
    <t>Multi-tenant energy community billing</t>
  </si>
  <si>
    <t>ERP setup required</t>
  </si>
  <si>
    <t>https://github.com/idempiere/idempiere</t>
  </si>
  <si>
    <t>https://www.idempiere.org</t>
  </si>
  <si>
    <t>Openbravo</t>
  </si>
  <si>
    <t>Orisha Commerce</t>
  </si>
  <si>
    <t>Openbravo ERP</t>
  </si>
  <si>
    <t>ERP and POS with billing capabilities</t>
  </si>
  <si>
    <t>JavaScript, Java</t>
  </si>
  <si>
    <t>Not Maintained</t>
  </si>
  <si>
    <t>Free (Core)</t>
  </si>
  <si>
    <t>Openbravo Public License</t>
  </si>
  <si>
    <t>ERP integrators</t>
  </si>
  <si>
    <t>Retail-style billing for energy projects</t>
  </si>
  <si>
    <t>POS, multi-currency billing</t>
  </si>
  <si>
    <t>Micro-utility billing</t>
  </si>
  <si>
    <t>Not maintained anymore. Limited open-source modules</t>
  </si>
  <si>
    <t>https://github.com/bippo/openbravo</t>
  </si>
  <si>
    <t>https://www.openbravo.com (https://commerce.orisha.com/)</t>
  </si>
  <si>
    <t>OpenCost</t>
  </si>
  <si>
    <t>OpenCost Community</t>
  </si>
  <si>
    <t>Kubernetes Cost Monitoring</t>
  </si>
  <si>
    <t>Real-time cost tracking for infrastructure</t>
  </si>
  <si>
    <t>Kubernetes, Prometheus</t>
  </si>
  <si>
    <t>Cloud-native OSS</t>
  </si>
  <si>
    <t>Supports efficient resource allocation</t>
  </si>
  <si>
    <t>Real-time pricing, cost attribution</t>
  </si>
  <si>
    <t>Cloud billing, adaptable to IoT/energy</t>
  </si>
  <si>
    <t>Focused on infra not billing</t>
  </si>
  <si>
    <t>https://github.com/opencost/opencost</t>
  </si>
  <si>
    <t>https://opencost.io</t>
  </si>
  <si>
    <t>Repurposable for energy tracking</t>
  </si>
  <si>
    <t>BillRun</t>
  </si>
  <si>
    <t>BillRun Ltd.</t>
  </si>
  <si>
    <t>Open-source Telecom Billing</t>
  </si>
  <si>
    <t>Real-time billing &amp; CRM system</t>
  </si>
  <si>
    <t>PHP, JavaScript</t>
  </si>
  <si>
    <t>REST API, CRM</t>
  </si>
  <si>
    <t>Small business &amp; telecom OSS</t>
  </si>
  <si>
    <t>Scalable billing framework</t>
  </si>
  <si>
    <t>Usage tracking, invoicing, customer portal</t>
  </si>
  <si>
    <t>Adaptable for energy community billing</t>
  </si>
  <si>
    <t>Telecom-focused, needs customization</t>
  </si>
  <si>
    <t>https://git.bill.run/sdoc/billrun (https://github.com/BillRun/system)</t>
  </si>
  <si>
    <t>https://bill.run</t>
  </si>
  <si>
    <t>Repository moved from github to Git. Can be adapted for metered energy billing</t>
  </si>
  <si>
    <t>OperatorFabric</t>
  </si>
  <si>
    <t>RTE, LF Energy</t>
  </si>
  <si>
    <t>real time business events, Facilitate interactions between operational control centers, industrial-strength platform</t>
  </si>
  <si>
    <t>TypeScript, Java, JavaScript, Gherkin, HTML, Handlebars</t>
  </si>
  <si>
    <t>REST API,Kafka , OAuth2, Prometheus endpoints</t>
  </si>
  <si>
    <t>MPL 2</t>
  </si>
  <si>
    <t>LF energy community</t>
  </si>
  <si>
    <t>Improves operator efficiency</t>
  </si>
  <si>
    <t>Event cards, timeline, CLI, i18n</t>
  </si>
  <si>
    <t>Grid control rooms</t>
  </si>
  <si>
    <t>Requires Java &amp; Docker knowledge</t>
  </si>
  <si>
    <t>https://github.com/opfab/operatorfabric-core</t>
  </si>
  <si>
    <t>https://opfab.github.io/</t>
  </si>
  <si>
    <t>SOGNO</t>
  </si>
  <si>
    <t>LF Energy / RWTH Aachen</t>
  </si>
  <si>
    <t>Real-time power grid simulation and automation services</t>
  </si>
  <si>
    <t>C++, CMake, C, Shell, Python</t>
  </si>
  <si>
    <t>MQTT, HTTP, CIM, Kubernetes</t>
  </si>
  <si>
    <t xml:space="preserve">Moderate </t>
  </si>
  <si>
    <t>LF Energy, academic partners</t>
  </si>
  <si>
    <t>Enhances renewable integration</t>
  </si>
  <si>
    <t>State estimation, voltage control, load prediction</t>
  </si>
  <si>
    <t>Campus microgrids, PlatOne project</t>
  </si>
  <si>
    <t>Requires Docker/K8s &amp; power system expertise</t>
  </si>
  <si>
    <t>https://github.com/sogno-platform/dpsim</t>
  </si>
  <si>
    <t>https://sogno.energy/dpsim/</t>
  </si>
  <si>
    <t>Dynaωo</t>
  </si>
  <si>
    <t>Dynamic simulation for power system stability analysis</t>
  </si>
  <si>
    <t>Modelica, C++, C, Python, CMake, XSLT</t>
  </si>
  <si>
    <t>Modelica, CIM, FMU, CGMES</t>
  </si>
  <si>
    <t>Advanced (requires electrical engineering expertise)</t>
  </si>
  <si>
    <t>Academic &amp; R&amp;D community support</t>
  </si>
  <si>
    <t>Helps assess dynamic grid behavior</t>
  </si>
  <si>
    <t>Dynamic stability, multi-domain modeling, GUI</t>
  </si>
  <si>
    <t>TSO planning, academic simulations</t>
  </si>
  <si>
    <t>Requires model knowledge and tuning</t>
  </si>
  <si>
    <t>https://github.com/dynawo/dynawo</t>
  </si>
  <si>
    <t>https://dynawo.github.io/</t>
  </si>
  <si>
    <t>Hyphae</t>
  </si>
  <si>
    <t>Regridders / LF Energy (connected with SOGNO</t>
  </si>
  <si>
    <t>Planning tool for equitable community microgrids</t>
  </si>
  <si>
    <t>Java, Python, JavaScript, MakeFile</t>
  </si>
  <si>
    <t>GeoJSON, REST API</t>
  </si>
  <si>
    <t>Small contributor base; aligned with justice orgs</t>
  </si>
  <si>
    <t>Promotes decentralized clean energy</t>
  </si>
  <si>
    <t>Equity metrics, map-based planning UI</t>
  </si>
  <si>
    <t>Community microgrid planning</t>
  </si>
  <si>
    <t>Not mature; limited pilot use</t>
  </si>
  <si>
    <t>https://github.com/hyphae/APIS</t>
  </si>
  <si>
    <t>https://lfenergy.org/projects/hyphae/</t>
  </si>
  <si>
    <t>Wetterdienst</t>
  </si>
  <si>
    <t>Deutscher Wetterdienst (Unofficial Python client)</t>
  </si>
  <si>
    <t>Open Source Python package</t>
  </si>
  <si>
    <t>Access to German weather data via DWD</t>
  </si>
  <si>
    <t>CSV, NetCDF, Zarr, JSON</t>
  </si>
  <si>
    <t>Easy to moderate for Python users</t>
  </si>
  <si>
    <t>Good for scientific community in Germany</t>
  </si>
  <si>
    <t>Supports research and public services</t>
  </si>
  <si>
    <t>Access to DWD’s observational and forecast data</t>
  </si>
  <si>
    <t>Scientific analysis, environmental monitoring</t>
  </si>
  <si>
    <t>Mainly for German datasets</t>
  </si>
  <si>
    <t>https://github.com/earthobservations/wetterdienst</t>
  </si>
  <si>
    <t>https://wetterdienst.eobs.org/</t>
  </si>
  <si>
    <t>Popular for DWD weather APIs</t>
  </si>
  <si>
    <t>MetPy</t>
  </si>
  <si>
    <t>Unidata, National Science Foundation</t>
  </si>
  <si>
    <t>Unidata Program</t>
  </si>
  <si>
    <t>Meteorological data processing and visualization</t>
  </si>
  <si>
    <t>NetCDF, GRIB, CSV</t>
  </si>
  <si>
    <t>Moderate, good for meteorology experts</t>
  </si>
  <si>
    <t>Strong academic community</t>
  </si>
  <si>
    <t>Supports climate and weather research</t>
  </si>
  <si>
    <t>Plotting, thermodynamics, calculations</t>
  </si>
  <si>
    <t>Weather model visualization, education, forecasting tools</t>
  </si>
  <si>
    <t>Steep learning curve for beginners</t>
  </si>
  <si>
    <t>https://github.com/Unidata/MetPy</t>
  </si>
  <si>
    <t>https://unidata.github.io/MetPy/latest/</t>
  </si>
  <si>
    <t>Suitable for meterological data analysis and visualization</t>
  </si>
  <si>
    <t>Weather Research and Forecasting Model (WRF)</t>
  </si>
  <si>
    <t>National Center for Atmospheric Research, US National Science Foundation</t>
  </si>
  <si>
    <t>WRF Modeling System</t>
  </si>
  <si>
    <t>Numerical weather prediction</t>
  </si>
  <si>
    <t>Fortran, Roff, C++, Pascal, C, Shell</t>
  </si>
  <si>
    <t>NetCDF</t>
  </si>
  <si>
    <t>Advanced – requires HPC and config knowledge</t>
  </si>
  <si>
    <t>Large scientific and academic user base</t>
  </si>
  <si>
    <t>Core to climate and weather simulations</t>
  </si>
  <si>
    <t>Weather prediction at multiple scales</t>
  </si>
  <si>
    <t>Regional forecasting, climate simulation</t>
  </si>
  <si>
    <t>Complex to set up and run</t>
  </si>
  <si>
    <t>https://github.com/wrf-model/WRF</t>
  </si>
  <si>
    <t>https://www.mmm.ucar.edu/weather-research-and-forecasting-model</t>
  </si>
  <si>
    <t>Open-Meteo</t>
  </si>
  <si>
    <t>Open-Meteo.com</t>
  </si>
  <si>
    <t>Free weather API</t>
  </si>
  <si>
    <t>Weather forecast API with JSON support</t>
  </si>
  <si>
    <t>Swift, C</t>
  </si>
  <si>
    <t>JSON API</t>
  </si>
  <si>
    <t>Free for non-commercial use</t>
  </si>
  <si>
    <t>Proprietary with free public access</t>
  </si>
  <si>
    <t>Very easy</t>
  </si>
  <si>
    <t>Growing developer community</t>
  </si>
  <si>
    <t>Supports clean energy systems</t>
  </si>
  <si>
    <t>Hourly forecasts, open API</t>
  </si>
  <si>
    <t>Energy systems, web apps</t>
  </si>
  <si>
    <t>Limited historical data</t>
  </si>
  <si>
    <t>https://github.com/open-meteo/open-meteo</t>
  </si>
  <si>
    <t>https://open-meteo.com/</t>
  </si>
  <si>
    <t>Meteostat</t>
  </si>
  <si>
    <t>Meteostat Foundation</t>
  </si>
  <si>
    <t>Meteostat API</t>
  </si>
  <si>
    <t>Historical weather and climate data</t>
  </si>
  <si>
    <t>Python, JavaScript, TypeScript, Vue, HTML, Rust</t>
  </si>
  <si>
    <t>Regular updates</t>
  </si>
  <si>
    <t>REST API, CSV, JSON</t>
  </si>
  <si>
    <t>Free with premium tier</t>
  </si>
  <si>
    <t>Easy with Python</t>
  </si>
  <si>
    <t>Medium, GitHub active</t>
  </si>
  <si>
    <t>Supports climate analysis</t>
  </si>
  <si>
    <t>Global historical data access</t>
  </si>
  <si>
    <t>Academic research, energy modeling</t>
  </si>
  <si>
    <t>Forecasting not available</t>
  </si>
  <si>
    <t>https://github.com/meteostat</t>
  </si>
  <si>
    <t>https://meteostat.net/</t>
  </si>
  <si>
    <t>Lightweight, data-driven tool</t>
  </si>
  <si>
    <t>Climsoft</t>
  </si>
  <si>
    <t>WMO Commission for Climatology</t>
  </si>
  <si>
    <t>Climate data management software</t>
  </si>
  <si>
    <t>Visual Basic</t>
  </si>
  <si>
    <t>Supported by WMO</t>
  </si>
  <si>
    <t>CSV, Excel, Database export</t>
  </si>
  <si>
    <t>Used in developing nations</t>
  </si>
  <si>
    <t>Supports climate resilience</t>
  </si>
  <si>
    <t>Data QC, storage, analysis</t>
  </si>
  <si>
    <t>Weather stations, meteorology depts</t>
  </si>
  <si>
    <t>Dated UI, limited forecast features</t>
  </si>
  <si>
    <t>https://github.com/climsoft/Climsoft</t>
  </si>
  <si>
    <t>https://www.climsoft.org/</t>
  </si>
  <si>
    <t>Important for WMO partners</t>
  </si>
  <si>
    <t>Enaccess</t>
  </si>
  <si>
    <t>Humanitarian Energy Access Co-Design Toolbox</t>
  </si>
  <si>
    <t>Designs and sizes mini-grids</t>
  </si>
  <si>
    <t xml:space="preserve"> JavaScript, C++, Python, Kotlin, TypeScript</t>
  </si>
  <si>
    <t>Maintained by EnAccess</t>
  </si>
  <si>
    <t>Active with support forums</t>
  </si>
  <si>
    <t>Promotes renewable off-grid systems</t>
  </si>
  <si>
    <t>Load profile, PV/battery sizing</t>
  </si>
  <si>
    <t>Mini-grid design, NGO planning</t>
  </si>
  <si>
    <t>No full economic optimization module</t>
  </si>
  <si>
    <t>https://github.com/EnAccess/</t>
  </si>
  <si>
    <t>https://enaccess.org/</t>
  </si>
  <si>
    <t>Browser-based, offline mode possible</t>
  </si>
  <si>
    <t>Reopt</t>
  </si>
  <si>
    <t>REopt Tool</t>
  </si>
  <si>
    <t xml:space="preserve">Techno-economic optimization and analysis </t>
  </si>
  <si>
    <t>Julia, Python (backend)</t>
  </si>
  <si>
    <t>Active development by NREL</t>
  </si>
  <si>
    <t>API, CSV, Excel</t>
  </si>
  <si>
    <t>Very easy (web interface)</t>
  </si>
  <si>
    <t>Widely used in U.S. projects</t>
  </si>
  <si>
    <t>Optimizes renewable integration</t>
  </si>
  <si>
    <t>Cost savings, resilience analysis</t>
  </si>
  <si>
    <t>Community resilience, solar+storage planning</t>
  </si>
  <si>
    <t>US-centric defaults, API has limits</t>
  </si>
  <si>
    <t>https://github.com/NREL/REopt.jl</t>
  </si>
  <si>
    <t>https://reopt.nrel.gov/tool</t>
  </si>
  <si>
    <t>Used for FEMA resilience grants</t>
  </si>
  <si>
    <t>reV (Renewable Energy Optimization Platform)</t>
  </si>
  <si>
    <t>reV</t>
  </si>
  <si>
    <t>geospatial techno-economic tool</t>
  </si>
  <si>
    <t>Actively maintained by NREL</t>
  </si>
  <si>
    <t>GeoTIFF, HDF5, JSON</t>
  </si>
  <si>
    <t>Moderate (data-intensive)</t>
  </si>
  <si>
    <t>Growing within US DoE network</t>
  </si>
  <si>
    <t>Enables siting for clean power</t>
  </si>
  <si>
    <t>Solar/wind potential, capacity factor mapping</t>
  </si>
  <si>
    <t>Microgrid design, energy transition plans</t>
  </si>
  <si>
    <t>US data focus</t>
  </si>
  <si>
    <t>https://github.com/NREL/reV</t>
  </si>
  <si>
    <t>https://nrel.github.io/reV/</t>
  </si>
  <si>
    <t>Scalable for national studies</t>
  </si>
  <si>
    <t>Criteria</t>
  </si>
  <si>
    <t>Development &amp; Maintenance</t>
  </si>
  <si>
    <t>Technical Robustness</t>
  </si>
  <si>
    <t>Use Case Demonstration</t>
  </si>
  <si>
    <t>Metrics</t>
  </si>
  <si>
    <t>Stars</t>
  </si>
  <si>
    <t>Forks</t>
  </si>
  <si>
    <t>Watchers</t>
  </si>
  <si>
    <t>Pull Requests</t>
  </si>
  <si>
    <t>Active Contributors</t>
  </si>
  <si>
    <t>Languages / Tech Stack</t>
  </si>
  <si>
    <t>API Interface Readiness</t>
  </si>
  <si>
    <t>User &amp; Developer Documentation</t>
  </si>
  <si>
    <t>Open Issues</t>
  </si>
  <si>
    <t>Closed Issues</t>
  </si>
  <si>
    <t>Issue Resolution Rate</t>
  </si>
  <si>
    <t>CI/CD Workflows</t>
  </si>
  <si>
    <t>Testing Frequency</t>
  </si>
  <si>
    <t>Commits (Est)</t>
  </si>
  <si>
    <t>Real-World Deployments</t>
  </si>
  <si>
    <t>Public Project Inclusion</t>
  </si>
  <si>
    <t>User Base or Adoption</t>
  </si>
  <si>
    <t>Use in Energy Community</t>
  </si>
  <si>
    <t>Github URL</t>
  </si>
  <si>
    <t>Score of Stars</t>
  </si>
  <si>
    <t>Score of Forks</t>
  </si>
  <si>
    <t>Score of Watchers</t>
  </si>
  <si>
    <t>Score of Pull Requests</t>
  </si>
  <si>
    <t>Score of Active Contributors</t>
  </si>
  <si>
    <t>Score of Last Push Date</t>
  </si>
  <si>
    <t>Score of License Type</t>
  </si>
  <si>
    <t>Score of Languages</t>
  </si>
  <si>
    <t>Score of API</t>
  </si>
  <si>
    <t>Score of Documentation</t>
  </si>
  <si>
    <t>Score of Open Issues</t>
  </si>
  <si>
    <t>Score of Closed Issues</t>
  </si>
  <si>
    <t>Score of Issue Resolution Rate</t>
  </si>
  <si>
    <t>Score of CI/CD</t>
  </si>
  <si>
    <t>Score of Testing Frequency</t>
  </si>
  <si>
    <t>Score of Real-World Deployment</t>
  </si>
  <si>
    <t>Score of Public Project</t>
  </si>
  <si>
    <t>Score of User Base</t>
  </si>
  <si>
    <t>Score of Use in Energy Community</t>
  </si>
  <si>
    <t>Score</t>
  </si>
  <si>
    <t>Python, Julia</t>
  </si>
  <si>
    <t>Kotlin</t>
  </si>
  <si>
    <t>Python, Jupyter Notebook, HTML, Makefile, Dockerfile</t>
  </si>
  <si>
    <t>Python, Scala, JavaScript, Shell</t>
  </si>
  <si>
    <t>Jupyter Notebook, Python, Shell</t>
  </si>
  <si>
    <t>https://github.com/flexiblepower/powermatcher</t>
  </si>
  <si>
    <t>https://www.nrel.gov/buildings/resstock.html</t>
  </si>
  <si>
    <t>Final Weighted Score</t>
  </si>
  <si>
    <t>Last Push Date</t>
  </si>
  <si>
    <t>sum</t>
  </si>
  <si>
    <t xml:space="preserve">sum </t>
  </si>
  <si>
    <t>Weight</t>
  </si>
  <si>
    <t>Open Source Tools</t>
  </si>
  <si>
    <t>Application</t>
  </si>
  <si>
    <t>Weighted Score of Development &amp; Maintenance</t>
  </si>
  <si>
    <t>Weighted Score of Integratability &amp; Deployability</t>
  </si>
  <si>
    <t>Weighted Score of Technical Robustness</t>
  </si>
  <si>
    <t>Weighted Score of Use Case Demonstration</t>
  </si>
  <si>
    <t>Cells highlighted are originally N/A or #DIV/0! and are treated as score 1 in the calculation.</t>
  </si>
  <si>
    <t>Category</t>
  </si>
  <si>
    <t xml:space="preserve">Development &amp; Maintenance </t>
  </si>
  <si>
    <t>Average Weighted Merics Score</t>
  </si>
  <si>
    <t xml:space="preserve">TRL </t>
  </si>
  <si>
    <t xml:space="preserve">HEAT MAP of Open Source tools with highest TRL score per prioritized  Application </t>
  </si>
  <si>
    <t>TRL</t>
  </si>
  <si>
    <t>Legend of Applications  using "Priority Criteria"</t>
  </si>
  <si>
    <t>OpenRAO(Open Remedial Actions Optimizer)</t>
  </si>
  <si>
    <t>PowSyBl project</t>
  </si>
  <si>
    <t>grid analysis, visualization, and simulation.</t>
  </si>
  <si>
    <t>Supports analysis of congestion, distribution</t>
  </si>
  <si>
    <t>CGMES, IIDM, Rest APIs</t>
  </si>
  <si>
    <t>power flow analysis, contingency analysis, security analysis, high interoperability framework</t>
  </si>
  <si>
    <t>Used by TSOs like RTE, CORESO, as well as ENTSO-E.</t>
  </si>
  <si>
    <t>https://github.com/powsybl/powsybl-core</t>
  </si>
  <si>
    <t>https://www.powsybl.org/index.html</t>
  </si>
  <si>
    <t>non mature UI/UX</t>
  </si>
  <si>
    <t>FARAO (OpenRAO)</t>
  </si>
  <si>
    <t>https://powsybl.readthedocs.io/projects/openrao/en/stable/</t>
  </si>
  <si>
    <t>Java, Gherkin</t>
  </si>
  <si>
    <t>toolbox for remedial actions optimisation</t>
  </si>
  <si>
    <t>Congestion management, cost optimization, Remedial action co-optimization, Flexibility assessment</t>
  </si>
  <si>
    <t xml:space="preserve">Technical Complexity, Requires integration with external simulators, </t>
  </si>
  <si>
    <t>JavaScript, CSS, TypeScript, Solidity, C++</t>
  </si>
  <si>
    <t>No support</t>
  </si>
  <si>
    <t>REScoop.eu, Partago, i.LECO</t>
  </si>
  <si>
    <t>JavaScript, CSS, HTML, Python, MakeFile</t>
  </si>
  <si>
    <t>GNU GPL-3.0</t>
  </si>
  <si>
    <t>Erasmus Centre for Future Energy Business</t>
  </si>
  <si>
    <t>https://github.com/powertac/powertac-core</t>
  </si>
  <si>
    <t>LGPL 3.0</t>
  </si>
  <si>
    <t>Richard Weinhold, Reiner Lemoine-Foundation, the Danish Energy Agency and Federal Ministry for Economic Affairs and Energy</t>
  </si>
  <si>
    <t>ENERGOOD, Man0EUvRE, InvestAgent etc.</t>
  </si>
  <si>
    <t>Helmholtz Digital Services for Science, GFZ Helmholtz-Zentrum für Geoforschung, German Aerospace Center (DLR)</t>
  </si>
  <si>
    <t>Energy Web Chain</t>
  </si>
  <si>
    <t>Python, HTML, SCSS, JavaScript, CSS, Shell</t>
  </si>
  <si>
    <t>Potsdam Institute for Climate Impact Research, elena international GmbH</t>
  </si>
  <si>
    <t>GNU AGPL-3.0, EPL-2.0</t>
  </si>
  <si>
    <t>Open EMS Association e.V.</t>
  </si>
  <si>
    <t>BloGPV, Delfine, EASY-RES, EMSIG, BEST, NiEMOB</t>
  </si>
  <si>
    <t>Java, HTML, TypeScript, SCSS, Shell</t>
  </si>
  <si>
    <t>Docker, WebSocket</t>
  </si>
  <si>
    <t>Open-source decentralized utility and customer management tool</t>
  </si>
  <si>
    <t>MicroPowerManager Agent App</t>
  </si>
  <si>
    <t>https://github.com/EnAccess/micropowermanager-agent-app</t>
  </si>
  <si>
    <t xml:space="preserve">VDL Energy Systems, K2 Buddy Solar panel snow guard, TSO Powerline monitoring etc. </t>
  </si>
  <si>
    <t xml:space="preserve">Java, TypeScript, Groovy, CSS, Shell, JavaScript </t>
  </si>
  <si>
    <t xml:space="preserve">MQTT, HTTP/REST, WebSockets, REST API, </t>
  </si>
  <si>
    <t>TRL Metric Score</t>
  </si>
  <si>
    <t>HTML, Python</t>
  </si>
  <si>
    <t>Independent developers from TU Delft</t>
  </si>
  <si>
    <t>Linux Foundation (Originally developed by Meta)</t>
  </si>
  <si>
    <t>Python, C++, Cuda, C, Objective-C++, CMake</t>
  </si>
  <si>
    <t>University of Toronto</t>
  </si>
  <si>
    <t>https://arxiv.org/abs/2203.04410</t>
  </si>
  <si>
    <t>My EMS (Haishi Software)</t>
  </si>
  <si>
    <t>Python, DockerFile</t>
  </si>
  <si>
    <t>IISc Bangalore</t>
  </si>
  <si>
    <t>https://dai.lids.mit.edu/</t>
  </si>
  <si>
    <t>Data to AI Lab MIT</t>
  </si>
  <si>
    <t>Restful APIs to process massive signal data for anomaly analysis</t>
  </si>
  <si>
    <t>REST APIs, Processes time-series data via CSV</t>
  </si>
  <si>
    <t>https://anomalib.readthedocs.io/en/latest/</t>
  </si>
  <si>
    <t>Intel Corporation</t>
  </si>
  <si>
    <t>Functionality Matrix</t>
  </si>
  <si>
    <t>6,7,8</t>
  </si>
  <si>
    <t>Comprehensive list of domains and applications (+ Demo Sites Interviews)</t>
  </si>
  <si>
    <t>TRL per Applications</t>
  </si>
  <si>
    <t>TRL collection for the selected application + conversion from Metric score to TRL score</t>
  </si>
  <si>
    <t>TRL Heat Map</t>
  </si>
  <si>
    <t xml:space="preserve">Final TRL Heat Map of selected tools </t>
  </si>
  <si>
    <t>Functionality Mapping</t>
  </si>
  <si>
    <t>JavaScript, TypeScript, PLpgSQL, Shell, CSS</t>
  </si>
  <si>
    <t xml:space="preserve">SCADA Energy Management, </t>
  </si>
  <si>
    <t>Java, TypeScript, HTML, SCSS, JavaScript, Shell</t>
  </si>
  <si>
    <t>Data Visualization Tools</t>
  </si>
  <si>
    <t>TypeScript, Go, CUE, Rich Text Format, HTML, JavaScript</t>
  </si>
  <si>
    <t>Free, subscribable advanced plan</t>
  </si>
  <si>
    <t>Business intelligence and data exploration and visualization platform</t>
  </si>
  <si>
    <t>Jupyter Notebook, TypeScript, Python, JavaScrip, HTML, Shell</t>
  </si>
  <si>
    <t>GNU AGPL-3.0, Commercial License (for advanced features)</t>
  </si>
  <si>
    <t>Clojure, TypeScript, JavaScript, CSS, MDX, Shell</t>
  </si>
  <si>
    <t>Vaex with Dash, Vaex with Streamlit</t>
  </si>
  <si>
    <t>Out-of-core DataFrames for  visualization and exploration of large datasets</t>
  </si>
  <si>
    <t>Python, JavaScript, C++, HTML, PHP, Shell</t>
  </si>
  <si>
    <t>https://github.com/knime/knime-core</t>
  </si>
  <si>
    <t>GNU AGPL-3.0, MIT</t>
  </si>
  <si>
    <t xml:space="preserve">Python, TypeScript, JavaScript, HTML Ruby, CSS </t>
  </si>
  <si>
    <t>UNSW Collaboration on Energy and Environmental Markets</t>
  </si>
  <si>
    <t>Python, Vue, JavaScript, HTML, Shell, PowerShell</t>
  </si>
  <si>
    <t>Independent Researcher, Part of Open Energy Monitor</t>
  </si>
  <si>
    <t>JavaScript, PHP, HTML, CSS</t>
  </si>
  <si>
    <t xml:space="preserve">Archived. Focused on UK energy data; may require adaptation for other regions
</t>
  </si>
  <si>
    <t>Rebase Energy</t>
  </si>
  <si>
    <t>Solar power forecasting, Hybrid powerplant trading, PC and battery Optimization</t>
  </si>
  <si>
    <t>Supported by Rebase Energy, open to contributions</t>
  </si>
  <si>
    <t>A modeling framework; Real-time deployment needs extensive effort</t>
  </si>
  <si>
    <t>AI-powered Forecasting</t>
  </si>
  <si>
    <t>Machine learning algorithms</t>
  </si>
  <si>
    <t>Anomaly Detection in Energy systems</t>
  </si>
  <si>
    <t>Data visualization</t>
  </si>
  <si>
    <t>The functionality or evidence is completely absent</t>
  </si>
  <si>
    <t>Only basic functionality or partial implementation is present</t>
  </si>
  <si>
    <t>Core functionality is present and usable, but lacks advanced features and supporting documentation</t>
  </si>
  <si>
    <t>Fully implemented functionality with good documentation and usability</t>
  </si>
  <si>
    <t>SUM</t>
  </si>
  <si>
    <t>Development &amp; Maintenance [15%]</t>
  </si>
  <si>
    <t>Technical Robustness [15%]</t>
  </si>
  <si>
    <t>Use Case Demonstration [50%]</t>
  </si>
  <si>
    <t>Volttron</t>
  </si>
  <si>
    <t>Highest TRL score open-source tools by prioritized application</t>
  </si>
  <si>
    <t>Highest TRL score open-source tools</t>
  </si>
  <si>
    <t>HEAT MAP of Open Source tools with highest TRL score</t>
  </si>
  <si>
    <t xml:space="preserve">Categories List, Aplications List, Priorities List </t>
  </si>
  <si>
    <t>Functionability Matrix of open-source tools by prioritized application</t>
  </si>
  <si>
    <t>Energy sharing application</t>
  </si>
  <si>
    <t>Energy sharing application/software</t>
  </si>
  <si>
    <t xml:space="preserve">U2Demo: Use of open-source P2P energy sharing platforms for energy Democratization </t>
  </si>
  <si>
    <t>/</t>
  </si>
  <si>
    <t>TRL Metrics Score, TRL per Applications, Heat Map</t>
  </si>
  <si>
    <t>Category List - Demo Sites prioritization from Interviews - Normalization of Results - Selection of Priority Categories by Demo Sites</t>
  </si>
  <si>
    <t xml:space="preserve">Collection of TRL scores - Metrics weighting </t>
  </si>
  <si>
    <t>Table with values of the  Funcitonality Mapping - Heat Map - Radar Charts</t>
  </si>
  <si>
    <t>Interoperabiltiy of the selected open-source tools - Table of Results</t>
  </si>
  <si>
    <t>Influence user behaviour through subtle design cues.</t>
  </si>
  <si>
    <t>Analyse and promote behaviour that improves energy efficiency.</t>
  </si>
  <si>
    <t>Evaluate social outcomes and benefits of energy projects.</t>
  </si>
  <si>
    <t>Support participatory planning and innovation processes.</t>
  </si>
  <si>
    <t>Simulate and monitor the operation of energy systems in real-time.</t>
  </si>
  <si>
    <t>Protect energy infrastructure against cyber threats and attacks</t>
  </si>
  <si>
    <t>Support material and energy recovery from waste.</t>
  </si>
  <si>
    <t>Enable sustainable lifecycle tracking and closed-loop processes.</t>
  </si>
  <si>
    <t>Enable hydrogen generation, compression, and storage.</t>
  </si>
  <si>
    <t>Integrate hydrogen fuel cells into local energy systems.</t>
  </si>
  <si>
    <t>Facilitate the exchange of hydrogen as an energy carrier.</t>
  </si>
  <si>
    <t>Legend for Demo Sites interviews' responses</t>
  </si>
  <si>
    <t xml:space="preserve">Selected Applications from all prioritized Categories </t>
  </si>
  <si>
    <t>Open-Source Tools for Local Energy Communities classified by Domanin, Category, and Aplication</t>
  </si>
  <si>
    <t>Open-Source Tools</t>
  </si>
  <si>
    <t>Legend of Scoring Criteria</t>
  </si>
  <si>
    <t>Functionability Matrix of  open-source tools by prioritized application</t>
  </si>
  <si>
    <t>github URL</t>
  </si>
  <si>
    <t>websites</t>
  </si>
  <si>
    <t>MQTT Support</t>
  </si>
  <si>
    <t>API Availability</t>
  </si>
  <si>
    <t>OpenADR Support</t>
  </si>
  <si>
    <t>OPC-UA Support</t>
  </si>
  <si>
    <t>EEBUS Compatibility</t>
  </si>
  <si>
    <t>IEC 61850 Support</t>
  </si>
  <si>
    <t>Data Format – JSON/XML/CSV</t>
  </si>
  <si>
    <t>Cloud Integration (APIs)</t>
  </si>
  <si>
    <t>Interoperability Plugin System</t>
  </si>
  <si>
    <t>Docker / Containerization</t>
  </si>
  <si>
    <t>Sum Score</t>
  </si>
  <si>
    <t>https://github.com/powsybl/pypowsybl</t>
  </si>
  <si>
    <t>https://powsybl.readthedocs.io/projects/openrao/en/stable/index.html</t>
  </si>
  <si>
    <t>Metric</t>
  </si>
  <si>
    <t>What It Indicates</t>
  </si>
  <si>
    <t>Keyword Search Terms</t>
  </si>
  <si>
    <t>Optional Notes</t>
  </si>
  <si>
    <t>Whether the tool can publish/subscribe using the Message Queuing Telemetry Transport protocol</t>
  </si>
  <si>
    <t>Used in energy IoT, lightweight telemetry communication</t>
  </si>
  <si>
    <t>mqtt, Mosquitto, HiveMQ, broker</t>
  </si>
  <si>
    <t>Look for Mosquitto, HiveMQ, etc.</t>
  </si>
  <si>
    <t>Whether the tool exposes a RESTful API for external control or integration</t>
  </si>
  <si>
    <t>Flexibility for dashboards, services, mobile apps</t>
  </si>
  <si>
    <t>Search for the term Api and get for eg. REST, API, OpenAPI, Swagger, endpoint, FastAPI, SpringBoot</t>
  </si>
  <si>
    <t>Swagger/OpenAPI, FastAPI, SpringBoot</t>
  </si>
  <si>
    <t>Supports Open Automated Demand Response protocol</t>
  </si>
  <si>
    <t>Demand response readiness &amp; DSO compatibility</t>
  </si>
  <si>
    <t>OpenADR, demand response, DR event, openadr2</t>
  </si>
  <si>
    <t>Useful in smart grid &amp; flexibility tools</t>
  </si>
  <si>
    <t>Uses Open Platform Communications – Unified Architecture</t>
  </si>
  <si>
    <t>Industrial integration in SCADA, BMS, DERs</t>
  </si>
  <si>
    <t>OPC-UA, OPC UA, open62541, node-opcua</t>
  </si>
  <si>
    <r>
      <t xml:space="preserve">Look for </t>
    </r>
    <r>
      <rPr>
        <sz val="10"/>
        <color theme="1"/>
        <rFont val="Arial Unicode MS"/>
      </rPr>
      <t>open62541</t>
    </r>
    <r>
      <rPr>
        <sz val="11"/>
        <color theme="1"/>
        <rFont val="Aptos Narrow"/>
        <family val="2"/>
        <scheme val="minor"/>
      </rPr>
      <t xml:space="preserve">, </t>
    </r>
    <r>
      <rPr>
        <sz val="10"/>
        <color theme="1"/>
        <rFont val="Arial Unicode MS"/>
      </rPr>
      <t>node-opcua</t>
    </r>
  </si>
  <si>
    <t>Interfaces with the EEBUS standard for device-to-device energy management</t>
  </si>
  <si>
    <t>Compatibility with European smart home/EV standards</t>
  </si>
  <si>
    <t>EEBUS, SmartGridReady, eebus gateway</t>
  </si>
  <si>
    <t>May require a gateway plugin</t>
  </si>
  <si>
    <t>Implements this protocol for substation and DER communication</t>
  </si>
  <si>
    <t>Utility-grade electrical system interoperability</t>
  </si>
  <si>
    <t>IEC 61850, MMS, GOOSE, substation protocol</t>
  </si>
  <si>
    <t>Typically used in TSOs/DSOs</t>
  </si>
  <si>
    <t>Can output or consume data in JSON format</t>
  </si>
  <si>
    <t>Common for web APIs, visualizations, data platforms</t>
  </si>
  <si>
    <t>json, xml, .xml, xml parser, csv, .csv, export to csv, save data</t>
  </si>
  <si>
    <t>Widely used in REST, MQTT</t>
  </si>
  <si>
    <t>Has SDKs or plugins for AWS, Azure, Google Cloud</t>
  </si>
  <si>
    <t>Cloud-readiness and ecosystem integration</t>
  </si>
  <si>
    <t>aws sdk, gcp, azure, cloud functions, lambda</t>
  </si>
  <si>
    <t>Optional for edge-focused tools</t>
  </si>
  <si>
    <t>Offers a modular plugin architecture for adding interfaces</t>
  </si>
  <si>
    <t>Extensibility for future protocols</t>
  </si>
  <si>
    <t>plugin, module, extension, adapter, architecture</t>
  </si>
  <si>
    <t>OpenEMS, Node-RED are examples</t>
  </si>
  <si>
    <t>Tool is containerized or offers Docker images</t>
  </si>
  <si>
    <t>Simplifies deployment and API gateway integration</t>
  </si>
  <si>
    <t>docker, Dockerfile, container, docker-compose</t>
  </si>
  <si>
    <t>Helps in orchestrating services</t>
  </si>
  <si>
    <t>Not supported</t>
  </si>
  <si>
    <t>Partial support or custom implementation</t>
  </si>
  <si>
    <t>Fully supported with available documentation and standard compliance</t>
  </si>
  <si>
    <t>Integratability &amp; Deployment [20% ]</t>
  </si>
  <si>
    <t>Integratability &amp; Deployment</t>
  </si>
  <si>
    <t>Applications</t>
  </si>
  <si>
    <t>Interoperability Matrix of open-source tools by prioritized application</t>
  </si>
  <si>
    <t>Summary of Results</t>
  </si>
  <si>
    <t>Table with TRL, Functionality and Interoperability Assessments Results</t>
  </si>
  <si>
    <t>Functionality</t>
  </si>
  <si>
    <t xml:space="preserve">Interoperability </t>
  </si>
  <si>
    <t>Summary of Results from the TRL, Functionality and Interoperability Assessments</t>
  </si>
  <si>
    <t>Automated Billing Platforms</t>
  </si>
  <si>
    <t>SAP Mobility Smart Charging</t>
  </si>
  <si>
    <t>SAP</t>
  </si>
  <si>
    <t>https://github.com/SAP/emobility-smart-charging</t>
  </si>
  <si>
    <t>https://www.sap.com/products/scm/e-mobility.html</t>
  </si>
  <si>
    <t>EV charging optimizer scheduling based on infrastructure constraints and electricity pricing</t>
  </si>
  <si>
    <t>Java, TypeScript, HTML, Makefile, JavaScript, CSS, Dockerfile</t>
  </si>
  <si>
    <t>REST API, Docker</t>
  </si>
  <si>
    <t>Free, Pricing for use of cloud</t>
  </si>
  <si>
    <t>SAP backed but no active community mentioned</t>
  </si>
  <si>
    <t>Reduces charging peaks and cost, Better grid usage</t>
  </si>
  <si>
    <t>Load peak minimization, price‑aware scheduling</t>
  </si>
  <si>
    <t>Fleet charging, managed EV load balancing</t>
  </si>
  <si>
    <t>Documentation and support details limited</t>
  </si>
  <si>
    <t>EVerest</t>
  </si>
  <si>
    <t>https://lfenergy.org/projects/everest/</t>
  </si>
  <si>
    <t>https://github.com/EVerest/everest-core</t>
  </si>
  <si>
    <r>
      <rPr>
        <sz val="11"/>
        <color rgb="FF1F2328"/>
        <rFont val="Segoe UI"/>
        <family val="2"/>
      </rPr>
      <t>C++,</t>
    </r>
    <r>
      <rPr>
        <sz val="11"/>
        <color rgb="FF59636E"/>
        <rFont val="Segoe UI"/>
        <family val="2"/>
      </rPr>
      <t> Python, C, TypeScript, Rust</t>
    </r>
  </si>
  <si>
    <t>EVerest stack under Linux Foundation Energy (LF Energy)</t>
  </si>
  <si>
    <t>Modular framework for EV charging station firmware and software; OCPP support, full-stack environment</t>
  </si>
  <si>
    <t>MQTT-based modules, OCPP protocol compliant, highly interoperable</t>
  </si>
  <si>
    <t>Easy</t>
  </si>
  <si>
    <t>Backed by LF Energy, global contributors</t>
  </si>
  <si>
    <t>Encourages standardization and integration, better grid ecosystem</t>
  </si>
  <si>
    <t>Modular firmware, MQTT messaging, simulation support (via Docker)</t>
  </si>
  <si>
    <t>EV charger firmware development, simulation, interoperable deployment</t>
  </si>
  <si>
    <t>Requires technical familiarity and setup</t>
  </si>
  <si>
    <t>CitrineOS</t>
  </si>
  <si>
    <t>https://citrineos.github.io/latest/</t>
  </si>
  <si>
    <t>https://github.com/citrineos/citrineos-core</t>
  </si>
  <si>
    <t>OCPP 2.0.1 management system; modular, API-based platform for operators</t>
  </si>
  <si>
    <r>
      <t> TypeScript,</t>
    </r>
    <r>
      <rPr>
        <sz val="11"/>
        <color rgb="FF59636E"/>
        <rFont val="Segoe UI"/>
        <family val="2"/>
      </rPr>
      <t> Python, HTML</t>
    </r>
  </si>
  <si>
    <t>LF Energy, S44</t>
  </si>
  <si>
    <t>Enhances scalable management of charging networks</t>
  </si>
  <si>
    <t>Modular OS, OCPP support, provisioning interface</t>
  </si>
  <si>
    <t>Charging station infrastructure, prototyping, management systems</t>
  </si>
  <si>
    <t>Early-stage; limited adoption information</t>
  </si>
  <si>
    <t>OpenEVSE</t>
  </si>
  <si>
    <t>OpenEVSE LLC</t>
  </si>
  <si>
    <t>open source charging station hardware and software solutions to manufactures and individuals</t>
  </si>
  <si>
    <r>
      <t>JavaScript,</t>
    </r>
    <r>
      <rPr>
        <sz val="11"/>
        <color rgb="FF59636E"/>
        <rFont val="Segoe UI"/>
        <family val="2"/>
      </rPr>
      <t> C, Eagle, Python,</t>
    </r>
    <r>
      <rPr>
        <sz val="11"/>
        <color rgb="FF0969DA"/>
        <rFont val="Segoe UI"/>
        <family val="2"/>
      </rPr>
      <t> Svelte</t>
    </r>
  </si>
  <si>
    <t>MQTT, Open API</t>
  </si>
  <si>
    <t>Free, Cost for Hardware</t>
  </si>
  <si>
    <t>GNU GPL 3.0</t>
  </si>
  <si>
    <t>Backed by Open EVSE LLC</t>
  </si>
  <si>
    <t>Enables easy charging of EVs</t>
  </si>
  <si>
    <t>Security focussed, hardware-software solutions</t>
  </si>
  <si>
    <t>Charging support across different locations</t>
  </si>
  <si>
    <t>hardware based</t>
  </si>
  <si>
    <t>https://www.openevse.com/</t>
  </si>
  <si>
    <t>https://github.com/OpenEVSE/open_evse</t>
  </si>
  <si>
    <t>Useful baseline for algorithm prototyping</t>
  </si>
  <si>
    <t>Robust base for building customizable smart charging stacks</t>
  </si>
  <si>
    <t>Promising platform for scalable charging network prototyping</t>
  </si>
  <si>
    <t>Good option for hardware-software setup</t>
  </si>
  <si>
    <t>18th Agust 2025</t>
  </si>
  <si>
    <t xml:space="preserve">Table of Identified Open-Soure Tools </t>
  </si>
  <si>
    <t>TRL Assessment and Heat Map</t>
  </si>
  <si>
    <t xml:space="preserve"> 3 additional applications by adding the 3 extra cases + Priority 3</t>
  </si>
  <si>
    <t>Smart Chargin Algorithm</t>
  </si>
  <si>
    <t>Smart Charging Algorithm</t>
  </si>
  <si>
    <t>Subtask 1</t>
  </si>
  <si>
    <t>RQ1</t>
  </si>
  <si>
    <t>RQ2</t>
  </si>
  <si>
    <t>RQ3</t>
  </si>
  <si>
    <t>RQ</t>
  </si>
  <si>
    <t>Architecture Definition</t>
  </si>
  <si>
    <t>N.A.</t>
  </si>
  <si>
    <t>Deliverable</t>
  </si>
  <si>
    <t xml:space="preserve">D1.3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</si>
</sst>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8"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i/>
      <sz val="12"/>
      <color theme="1"/>
      <name val="Aptos Narrow"/>
      <family val="2"/>
      <scheme val="minor"/>
    </font>
    <font>
      <sz val="12"/>
      <color theme="1"/>
      <name val="Aptos Narrow"/>
      <family val="2"/>
      <scheme val="minor"/>
    </font>
    <font>
      <sz val="11"/>
      <color theme="1"/>
      <name val="Aptos Narrow"/>
      <family val="2"/>
    </font>
    <font>
      <b/>
      <sz val="14"/>
      <color theme="1"/>
      <name val="Aptos Narrow"/>
      <family val="2"/>
      <scheme val="minor"/>
    </font>
    <font>
      <b/>
      <sz val="12"/>
      <color theme="0"/>
      <name val="Aptos Narrow"/>
      <family val="2"/>
      <scheme val="minor"/>
    </font>
    <font>
      <i/>
      <sz val="11"/>
      <color theme="1"/>
      <name val="Aptos Narrow"/>
      <family val="2"/>
      <scheme val="minor"/>
    </font>
    <font>
      <sz val="10"/>
      <color theme="1"/>
      <name val="Arial Unicode MS"/>
    </font>
    <font>
      <b/>
      <sz val="12"/>
      <color theme="1"/>
      <name val="Aptos Narrow"/>
      <family val="2"/>
      <scheme val="minor"/>
    </font>
    <font>
      <b/>
      <sz val="14"/>
      <color theme="0"/>
      <name val="Aptos Narrow"/>
      <family val="2"/>
      <scheme val="minor"/>
    </font>
    <font>
      <b/>
      <i/>
      <sz val="11"/>
      <color theme="1"/>
      <name val="Aptos Narrow"/>
      <family val="2"/>
      <scheme val="minor"/>
    </font>
    <font>
      <sz val="14"/>
      <color theme="1"/>
      <name val="Aptos Narrow"/>
      <family val="2"/>
      <scheme val="minor"/>
    </font>
    <font>
      <u/>
      <sz val="11"/>
      <color theme="10"/>
      <name val="Aptos Narrow"/>
      <family val="2"/>
      <scheme val="minor"/>
    </font>
    <font>
      <u/>
      <sz val="11"/>
      <color theme="10"/>
      <name val="Calibri"/>
      <family val="2"/>
    </font>
    <font>
      <sz val="11"/>
      <color rgb="FF59636E"/>
      <name val="Segoe UI"/>
      <family val="2"/>
    </font>
    <font>
      <sz val="12"/>
      <color rgb="FF1F2328"/>
      <name val="Segoe UI"/>
      <family val="2"/>
    </font>
    <font>
      <b/>
      <i/>
      <sz val="11"/>
      <color theme="0"/>
      <name val="Aptos Narrow"/>
      <family val="2"/>
      <scheme val="minor"/>
    </font>
    <font>
      <b/>
      <sz val="16"/>
      <color theme="1"/>
      <name val="Aptos Narrow"/>
      <family val="2"/>
      <scheme val="minor"/>
    </font>
    <font>
      <b/>
      <sz val="11"/>
      <name val="Aptos Narrow"/>
      <family val="2"/>
      <scheme val="minor"/>
    </font>
    <font>
      <b/>
      <sz val="11"/>
      <name val="Calibri"/>
      <family val="2"/>
    </font>
    <font>
      <sz val="10.5"/>
      <color rgb="FF000000"/>
      <name val="Aptos Narrow"/>
      <family val="2"/>
    </font>
    <font>
      <sz val="10.5"/>
      <color rgb="FF000000"/>
      <name val="Aptos"/>
      <family val="2"/>
    </font>
    <font>
      <b/>
      <i/>
      <sz val="11"/>
      <name val="Aptos Narrow"/>
      <family val="2"/>
      <scheme val="minor"/>
    </font>
    <font>
      <sz val="10.5"/>
      <color rgb="FFFFFFFF"/>
      <name val="Aptos"/>
      <family val="2"/>
    </font>
    <font>
      <b/>
      <sz val="16"/>
      <color theme="0"/>
      <name val="Aptos Narrow"/>
      <family val="2"/>
      <scheme val="minor"/>
    </font>
    <font>
      <b/>
      <sz val="12"/>
      <color theme="1"/>
      <name val="Arial"/>
      <family val="2"/>
    </font>
    <font>
      <sz val="12"/>
      <color theme="1"/>
      <name val="Arial"/>
      <family val="2"/>
    </font>
    <font>
      <i/>
      <sz val="12"/>
      <color theme="1"/>
      <name val="Arial"/>
      <family val="2"/>
    </font>
    <font>
      <b/>
      <sz val="12"/>
      <name val="Arial"/>
      <family val="2"/>
    </font>
    <font>
      <sz val="11"/>
      <color rgb="FF000000"/>
      <name val="Aptos Narrow"/>
      <family val="2"/>
    </font>
    <font>
      <sz val="11"/>
      <color rgb="FFFF0000"/>
      <name val="Aptos Narrow"/>
      <family val="2"/>
      <scheme val="minor"/>
    </font>
    <font>
      <sz val="11"/>
      <name val="Aptos Narrow"/>
      <family val="2"/>
      <scheme val="minor"/>
    </font>
    <font>
      <sz val="11"/>
      <color rgb="FF0969DA"/>
      <name val="Segoe UI"/>
      <family val="2"/>
    </font>
    <font>
      <sz val="11"/>
      <color rgb="FF1F2328"/>
      <name val="Segoe UI"/>
      <family val="2"/>
    </font>
    <font>
      <sz val="8"/>
      <name val="Aptos Narrow"/>
      <family val="2"/>
      <scheme val="minor"/>
    </font>
  </fonts>
  <fills count="24">
    <fill>
      <patternFill patternType="none"/>
    </fill>
    <fill>
      <patternFill patternType="gray125"/>
    </fill>
    <fill>
      <patternFill patternType="solid">
        <fgColor theme="7" tint="-0.249977111117893"/>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99"/>
        <bgColor indexed="64"/>
      </patternFill>
    </fill>
    <fill>
      <patternFill patternType="solid">
        <fgColor rgb="FFBAE18F"/>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4999237037263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CC66"/>
        <bgColor indexed="64"/>
      </patternFill>
    </fill>
    <fill>
      <patternFill patternType="solid">
        <fgColor theme="5"/>
        <bgColor indexed="64"/>
      </patternFill>
    </fill>
    <fill>
      <patternFill patternType="solid">
        <fgColor rgb="FF7030A0"/>
        <bgColor indexed="64"/>
      </patternFill>
    </fill>
    <fill>
      <patternFill patternType="solid">
        <fgColor rgb="FF88428A"/>
        <bgColor indexed="64"/>
      </patternFill>
    </fill>
    <fill>
      <patternFill patternType="solid">
        <fgColor rgb="FFFFC000"/>
        <bgColor indexed="64"/>
      </patternFill>
    </fill>
  </fills>
  <borders count="60">
    <border>
      <left/>
      <right/>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DotDot">
        <color indexed="64"/>
      </left>
      <right/>
      <top/>
      <bottom/>
      <diagonal/>
    </border>
    <border>
      <left/>
      <right style="dashDotDot">
        <color indexed="64"/>
      </right>
      <top/>
      <bottom/>
      <diagonal/>
    </border>
    <border>
      <left/>
      <right style="dashDotDot">
        <color indexed="64"/>
      </right>
      <top/>
      <bottom style="dashDotDot">
        <color indexed="64"/>
      </bottom>
      <diagonal/>
    </border>
    <border>
      <left style="dashDotDot">
        <color indexed="64"/>
      </left>
      <right/>
      <top/>
      <bottom style="thin">
        <color indexed="64"/>
      </bottom>
      <diagonal/>
    </border>
    <border>
      <left style="dashDotDot">
        <color indexed="64"/>
      </left>
      <right/>
      <top style="dashDotDot">
        <color indexed="64"/>
      </top>
      <bottom style="thin">
        <color indexed="64"/>
      </bottom>
      <diagonal/>
    </border>
    <border>
      <left/>
      <right/>
      <top style="dashDotDot">
        <color indexed="64"/>
      </top>
      <bottom style="thin">
        <color indexed="64"/>
      </bottom>
      <diagonal/>
    </border>
    <border>
      <left/>
      <right style="dashDotDot">
        <color indexed="64"/>
      </right>
      <top style="dashDotDot">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ashDotDot">
        <color indexed="64"/>
      </left>
      <right style="thin">
        <color indexed="64"/>
      </right>
      <top style="thin">
        <color indexed="64"/>
      </top>
      <bottom/>
      <diagonal/>
    </border>
    <border>
      <left style="dashDotDot">
        <color indexed="64"/>
      </left>
      <right style="thin">
        <color indexed="64"/>
      </right>
      <top/>
      <bottom/>
      <diagonal/>
    </border>
    <border>
      <left style="dashDotDot">
        <color indexed="64"/>
      </left>
      <right style="thin">
        <color indexed="64"/>
      </right>
      <top/>
      <bottom style="dashDotDot">
        <color indexed="64"/>
      </bottom>
      <diagonal/>
    </border>
    <border>
      <left style="thin">
        <color indexed="64"/>
      </left>
      <right style="thin">
        <color indexed="64"/>
      </right>
      <top/>
      <bottom style="dashDotDot">
        <color indexed="64"/>
      </bottom>
      <diagonal/>
    </border>
    <border>
      <left style="thin">
        <color indexed="64"/>
      </left>
      <right style="double">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indexed="64"/>
      </left>
      <right style="medium">
        <color indexed="64"/>
      </right>
      <top/>
      <bottom style="thin">
        <color indexed="64"/>
      </bottom>
      <diagonal/>
    </border>
    <border>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style="medium">
        <color indexed="64"/>
      </left>
      <right style="medium">
        <color indexed="64"/>
      </right>
      <top/>
      <bottom style="medium">
        <color indexed="64"/>
      </bottom>
      <diagonal/>
    </border>
    <border>
      <left/>
      <right/>
      <top/>
      <bottom style="thin">
        <color theme="0" tint="-0.1499984740745262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theme="0"/>
      </right>
      <top/>
      <bottom style="thin">
        <color theme="0"/>
      </bottom>
      <diagonal/>
    </border>
    <border>
      <left/>
      <right style="medium">
        <color indexed="64"/>
      </right>
      <top/>
      <bottom/>
      <diagonal/>
    </border>
    <border>
      <left/>
      <right style="thin">
        <color theme="0"/>
      </right>
      <top style="thin">
        <color theme="0"/>
      </top>
      <bottom/>
      <diagonal/>
    </border>
    <border>
      <left style="medium">
        <color indexed="64"/>
      </left>
      <right style="medium">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3">
    <xf numFmtId="0" fontId="0" fillId="0" borderId="0"/>
    <xf numFmtId="0" fontId="15" fillId="0" borderId="0" applyNumberFormat="0" applyFill="0" applyBorder="0" applyAlignment="0" applyProtection="0"/>
    <xf numFmtId="0" fontId="16" fillId="0" borderId="0" applyNumberFormat="0" applyFill="0" applyBorder="0" applyAlignment="0" applyProtection="0">
      <alignment vertical="top"/>
      <protection locked="0"/>
    </xf>
  </cellStyleXfs>
  <cellXfs count="591">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4" fillId="3" borderId="0" xfId="0" applyFont="1" applyFill="1" applyAlignment="1">
      <alignment horizontal="right" vertical="center"/>
    </xf>
    <xf numFmtId="0" fontId="4" fillId="3" borderId="0" xfId="0" applyFont="1" applyFill="1" applyAlignment="1">
      <alignment vertical="center"/>
    </xf>
    <xf numFmtId="0" fontId="5" fillId="3" borderId="0" xfId="0" applyFont="1" applyFill="1" applyAlignment="1">
      <alignment horizontal="left" vertical="center" indent="1"/>
    </xf>
    <xf numFmtId="0" fontId="0" fillId="7" borderId="0" xfId="0" applyFill="1"/>
    <xf numFmtId="0" fontId="0" fillId="0" borderId="0" xfId="0" applyAlignment="1">
      <alignment horizontal="left" vertical="center" indent="1"/>
    </xf>
    <xf numFmtId="0" fontId="11" fillId="0" borderId="0" xfId="0" applyFont="1" applyAlignment="1">
      <alignment vertical="center"/>
    </xf>
    <xf numFmtId="0" fontId="11" fillId="0" borderId="0" xfId="0" applyFont="1" applyAlignment="1">
      <alignment horizontal="center" vertical="center"/>
    </xf>
    <xf numFmtId="0" fontId="0" fillId="0" borderId="0" xfId="0" applyAlignment="1">
      <alignment horizontal="center"/>
    </xf>
    <xf numFmtId="0" fontId="0" fillId="6" borderId="0" xfId="0" applyFill="1" applyAlignment="1">
      <alignment horizontal="left" vertical="center" indent="1"/>
    </xf>
    <xf numFmtId="0" fontId="9" fillId="0" borderId="0" xfId="0" applyFont="1"/>
    <xf numFmtId="0" fontId="0" fillId="0" borderId="0" xfId="0" applyAlignment="1">
      <alignment horizontal="left"/>
    </xf>
    <xf numFmtId="0" fontId="2" fillId="0" borderId="7"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xf>
    <xf numFmtId="0" fontId="0" fillId="0" borderId="23" xfId="0"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4" fillId="0" borderId="0" xfId="0" applyFont="1" applyAlignment="1">
      <alignment horizontal="center" vertical="center"/>
    </xf>
    <xf numFmtId="0" fontId="0" fillId="0" borderId="6" xfId="0" applyBorder="1"/>
    <xf numFmtId="0" fontId="0" fillId="0" borderId="7" xfId="0" applyBorder="1"/>
    <xf numFmtId="0" fontId="0" fillId="0" borderId="8" xfId="0" applyBorder="1"/>
    <xf numFmtId="0" fontId="0" fillId="0" borderId="10" xfId="0" applyBorder="1"/>
    <xf numFmtId="0" fontId="9" fillId="0" borderId="0" xfId="0" applyFont="1" applyAlignment="1">
      <alignment horizontal="center"/>
    </xf>
    <xf numFmtId="0" fontId="9" fillId="0" borderId="9" xfId="0" applyFont="1" applyBorder="1" applyAlignment="1">
      <alignment horizontal="center"/>
    </xf>
    <xf numFmtId="0" fontId="13" fillId="7" borderId="2" xfId="0" applyFont="1" applyFill="1" applyBorder="1" applyAlignment="1">
      <alignment horizontal="center"/>
    </xf>
    <xf numFmtId="0" fontId="2" fillId="5" borderId="2" xfId="0" applyFont="1" applyFill="1" applyBorder="1" applyAlignment="1">
      <alignment horizontal="center"/>
    </xf>
    <xf numFmtId="0" fontId="2" fillId="4" borderId="2" xfId="0" applyFont="1" applyFill="1" applyBorder="1" applyAlignment="1">
      <alignment horizontal="center"/>
    </xf>
    <xf numFmtId="0" fontId="2" fillId="6" borderId="2" xfId="0" applyFont="1" applyFill="1" applyBorder="1" applyAlignment="1">
      <alignment horizontal="center"/>
    </xf>
    <xf numFmtId="0" fontId="0" fillId="0" borderId="2" xfId="0" applyBorder="1"/>
    <xf numFmtId="0" fontId="0" fillId="0" borderId="22" xfId="0" applyBorder="1"/>
    <xf numFmtId="0" fontId="0" fillId="4"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0" fillId="7" borderId="0" xfId="0" applyFill="1" applyAlignment="1">
      <alignment horizontal="center"/>
    </xf>
    <xf numFmtId="0" fontId="12" fillId="2" borderId="0" xfId="0" applyFont="1" applyFill="1" applyAlignment="1">
      <alignment vertical="center"/>
    </xf>
    <xf numFmtId="0" fontId="1" fillId="2" borderId="0" xfId="0" applyFont="1" applyFill="1" applyAlignment="1">
      <alignment horizontal="left"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7" borderId="2" xfId="0" applyFont="1" applyFill="1" applyBorder="1" applyAlignment="1">
      <alignment horizontal="center" vertical="center"/>
    </xf>
    <xf numFmtId="0" fontId="2" fillId="6" borderId="2" xfId="0" applyFont="1" applyFill="1" applyBorder="1" applyAlignment="1">
      <alignment horizontal="center" vertical="center"/>
    </xf>
    <xf numFmtId="0" fontId="0" fillId="7" borderId="0" xfId="0" applyFill="1" applyAlignment="1">
      <alignment horizontal="left" vertical="center" indent="1"/>
    </xf>
    <xf numFmtId="0" fontId="5" fillId="0" borderId="0" xfId="0" applyFont="1" applyAlignment="1">
      <alignment vertical="center"/>
    </xf>
    <xf numFmtId="0" fontId="0" fillId="4" borderId="2" xfId="0" applyFill="1" applyBorder="1" applyAlignment="1">
      <alignment horizontal="center"/>
    </xf>
    <xf numFmtId="0" fontId="0" fillId="0" borderId="19" xfId="0" applyBorder="1"/>
    <xf numFmtId="0" fontId="2" fillId="0" borderId="19" xfId="0" applyFont="1" applyBorder="1"/>
    <xf numFmtId="0" fontId="0" fillId="5" borderId="2" xfId="0" applyFill="1" applyBorder="1" applyAlignment="1">
      <alignment horizontal="center"/>
    </xf>
    <xf numFmtId="0" fontId="0" fillId="6" borderId="2" xfId="0" applyFill="1" applyBorder="1" applyAlignment="1">
      <alignment horizontal="center"/>
    </xf>
    <xf numFmtId="0" fontId="0" fillId="7" borderId="2" xfId="0" applyFill="1" applyBorder="1" applyAlignment="1">
      <alignment horizontal="center"/>
    </xf>
    <xf numFmtId="0" fontId="0" fillId="0" borderId="2" xfId="0" applyBorder="1" applyAlignment="1">
      <alignment horizontal="center"/>
    </xf>
    <xf numFmtId="0" fontId="8" fillId="2" borderId="18" xfId="0" applyFont="1" applyFill="1" applyBorder="1" applyAlignment="1">
      <alignment vertical="center"/>
    </xf>
    <xf numFmtId="0" fontId="8" fillId="2" borderId="19" xfId="0" applyFont="1" applyFill="1" applyBorder="1" applyAlignment="1">
      <alignment horizontal="left" vertical="center" indent="1"/>
    </xf>
    <xf numFmtId="0" fontId="0" fillId="0" borderId="20" xfId="0" applyBorder="1" applyAlignment="1">
      <alignment horizontal="center"/>
    </xf>
    <xf numFmtId="0" fontId="0" fillId="0" borderId="18" xfId="0" applyBorder="1"/>
    <xf numFmtId="0" fontId="8" fillId="2" borderId="18" xfId="0" applyFont="1" applyFill="1" applyBorder="1" applyAlignment="1">
      <alignment horizontal="right" vertical="center"/>
    </xf>
    <xf numFmtId="0" fontId="1" fillId="2" borderId="18" xfId="0" applyFont="1" applyFill="1" applyBorder="1"/>
    <xf numFmtId="0" fontId="0" fillId="0" borderId="29" xfId="0" applyBorder="1" applyAlignment="1">
      <alignment horizontal="center" vertical="center"/>
    </xf>
    <xf numFmtId="0" fontId="0" fillId="0" borderId="30" xfId="0" applyBorder="1" applyAlignment="1">
      <alignment horizontal="center" vertical="center"/>
    </xf>
    <xf numFmtId="0" fontId="2" fillId="0" borderId="21" xfId="0" applyFont="1"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vertical="center"/>
    </xf>
    <xf numFmtId="0" fontId="0" fillId="4" borderId="18" xfId="0" applyFill="1" applyBorder="1" applyAlignment="1">
      <alignment horizontal="center"/>
    </xf>
    <xf numFmtId="0" fontId="2" fillId="0" borderId="2" xfId="0" applyFont="1" applyBorder="1"/>
    <xf numFmtId="0" fontId="0" fillId="0" borderId="32" xfId="0" applyBorder="1"/>
    <xf numFmtId="0" fontId="7" fillId="3" borderId="0" xfId="0" applyFont="1" applyFill="1" applyAlignment="1">
      <alignment vertical="center"/>
    </xf>
    <xf numFmtId="0" fontId="9" fillId="3" borderId="9" xfId="0" applyFont="1" applyFill="1" applyBorder="1" applyAlignment="1">
      <alignment horizontal="center" vertical="center"/>
    </xf>
    <xf numFmtId="0" fontId="2" fillId="0" borderId="2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0" fillId="0" borderId="1" xfId="0" applyBorder="1" applyAlignment="1">
      <alignment horizontal="center"/>
    </xf>
    <xf numFmtId="0" fontId="0" fillId="0" borderId="27" xfId="0" applyBorder="1" applyAlignment="1">
      <alignment horizontal="center"/>
    </xf>
    <xf numFmtId="0" fontId="0" fillId="0" borderId="24" xfId="0" applyBorder="1" applyAlignment="1">
      <alignment horizontal="center"/>
    </xf>
    <xf numFmtId="0" fontId="2" fillId="0" borderId="20" xfId="0" applyFont="1" applyBorder="1" applyAlignment="1">
      <alignment horizontal="center"/>
    </xf>
    <xf numFmtId="0" fontId="2" fillId="0" borderId="19" xfId="0" applyFont="1"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26"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2" fillId="0" borderId="22" xfId="0" applyFont="1" applyBorder="1" applyAlignment="1">
      <alignment horizontal="center"/>
    </xf>
    <xf numFmtId="0" fontId="3" fillId="0" borderId="0" xfId="0" applyFont="1"/>
    <xf numFmtId="0" fontId="0" fillId="0" borderId="9" xfId="0" applyBorder="1" applyAlignment="1">
      <alignment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2" fillId="0" borderId="20" xfId="0" applyFont="1" applyBorder="1" applyAlignment="1">
      <alignment horizontal="center" vertical="center"/>
    </xf>
    <xf numFmtId="0" fontId="9" fillId="0" borderId="20" xfId="0" applyFont="1" applyBorder="1" applyAlignment="1">
      <alignment horizontal="center" vertical="center"/>
    </xf>
    <xf numFmtId="0" fontId="0" fillId="0" borderId="3" xfId="0" applyBorder="1" applyAlignment="1">
      <alignment horizontal="center"/>
    </xf>
    <xf numFmtId="0" fontId="2" fillId="0" borderId="28" xfId="0" applyFont="1"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xf>
    <xf numFmtId="0" fontId="0" fillId="4" borderId="2" xfId="0" applyFill="1" applyBorder="1" applyAlignment="1">
      <alignment horizontal="center" vertical="center"/>
    </xf>
    <xf numFmtId="0" fontId="0" fillId="5" borderId="2" xfId="0" applyFill="1" applyBorder="1" applyAlignment="1">
      <alignment horizontal="center" vertical="center"/>
    </xf>
    <xf numFmtId="0" fontId="0" fillId="6" borderId="2" xfId="0" applyFill="1" applyBorder="1" applyAlignment="1">
      <alignment horizontal="center" vertical="center"/>
    </xf>
    <xf numFmtId="0" fontId="11" fillId="0" borderId="6" xfId="0" applyFont="1" applyBorder="1" applyAlignment="1">
      <alignment vertical="center"/>
    </xf>
    <xf numFmtId="0" fontId="0" fillId="7" borderId="9" xfId="0" applyFill="1" applyBorder="1"/>
    <xf numFmtId="0" fontId="0" fillId="7" borderId="9" xfId="0" applyFill="1" applyBorder="1" applyAlignment="1">
      <alignment horizontal="left" indent="1"/>
    </xf>
    <xf numFmtId="0" fontId="0" fillId="0" borderId="9" xfId="0" applyBorder="1"/>
    <xf numFmtId="0" fontId="0" fillId="0" borderId="9" xfId="0" applyBorder="1" applyAlignment="1">
      <alignment horizontal="left" vertical="center" indent="1"/>
    </xf>
    <xf numFmtId="0" fontId="0" fillId="0" borderId="9" xfId="0" applyBorder="1" applyAlignment="1">
      <alignment horizontal="center" vertical="center"/>
    </xf>
    <xf numFmtId="0" fontId="0" fillId="0" borderId="4" xfId="0" applyBorder="1" applyAlignment="1">
      <alignment horizontal="center" vertical="center"/>
    </xf>
    <xf numFmtId="0" fontId="11" fillId="0" borderId="2" xfId="0" applyFont="1" applyBorder="1" applyAlignment="1">
      <alignment horizontal="center" vertical="center"/>
    </xf>
    <xf numFmtId="0" fontId="0" fillId="3" borderId="2" xfId="0" applyFill="1" applyBorder="1" applyAlignment="1">
      <alignment horizontal="center" vertical="center"/>
    </xf>
    <xf numFmtId="0" fontId="2" fillId="3" borderId="2" xfId="0" applyFont="1" applyFill="1" applyBorder="1" applyAlignment="1">
      <alignment horizontal="center" vertical="center"/>
    </xf>
    <xf numFmtId="0" fontId="2" fillId="8" borderId="2" xfId="0" applyFont="1" applyFill="1" applyBorder="1" applyAlignment="1">
      <alignment horizontal="center" vertical="center"/>
    </xf>
    <xf numFmtId="0" fontId="0" fillId="0" borderId="4" xfId="0" applyBorder="1"/>
    <xf numFmtId="0" fontId="0" fillId="11" borderId="0" xfId="0" applyFill="1" applyAlignment="1">
      <alignment horizontal="left" vertical="center" indent="1"/>
    </xf>
    <xf numFmtId="0" fontId="2" fillId="8" borderId="0" xfId="0" applyFont="1" applyFill="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0" fillId="8" borderId="20" xfId="0" applyFill="1" applyBorder="1" applyAlignment="1">
      <alignment horizontal="center" vertical="center"/>
    </xf>
    <xf numFmtId="0" fontId="9" fillId="7" borderId="2"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18" xfId="0" applyBorder="1" applyAlignment="1">
      <alignment horizontal="left" vertical="center"/>
    </xf>
    <xf numFmtId="0" fontId="11" fillId="0" borderId="2" xfId="0" applyFont="1" applyBorder="1" applyAlignment="1">
      <alignment horizontal="center" vertical="center" wrapText="1"/>
    </xf>
    <xf numFmtId="0" fontId="0" fillId="0" borderId="6" xfId="0" applyBorder="1" applyAlignment="1">
      <alignment vertical="center" wrapText="1"/>
    </xf>
    <xf numFmtId="0" fontId="0" fillId="0" borderId="0" xfId="0" applyAlignment="1">
      <alignment horizontal="center" vertical="center" wrapText="1"/>
    </xf>
    <xf numFmtId="0" fontId="15" fillId="0" borderId="0" xfId="1" applyBorder="1"/>
    <xf numFmtId="0" fontId="0" fillId="0" borderId="0" xfId="0" applyAlignment="1">
      <alignment wrapText="1"/>
    </xf>
    <xf numFmtId="0" fontId="15" fillId="0" borderId="0" xfId="1" applyBorder="1" applyAlignment="1">
      <alignment vertical="center" wrapText="1"/>
    </xf>
    <xf numFmtId="0" fontId="0" fillId="0" borderId="6" xfId="0" applyBorder="1" applyAlignment="1">
      <alignment vertical="center"/>
    </xf>
    <xf numFmtId="0" fontId="17" fillId="0" borderId="6" xfId="0" applyFont="1" applyBorder="1"/>
    <xf numFmtId="0" fontId="18" fillId="0" borderId="6" xfId="0" applyFont="1" applyBorder="1"/>
    <xf numFmtId="0" fontId="5" fillId="0" borderId="0" xfId="0" applyFont="1" applyAlignment="1">
      <alignment horizontal="center" vertical="center"/>
    </xf>
    <xf numFmtId="0" fontId="2" fillId="3" borderId="18" xfId="0" applyFont="1" applyFill="1" applyBorder="1" applyAlignment="1">
      <alignment horizontal="left" vertical="center" wrapText="1" indent="1"/>
    </xf>
    <xf numFmtId="0" fontId="2" fillId="3" borderId="19" xfId="0" applyFont="1" applyFill="1" applyBorder="1" applyAlignment="1">
      <alignment horizontal="left" vertical="center" wrapText="1" indent="1"/>
    </xf>
    <xf numFmtId="0" fontId="19" fillId="2" borderId="2" xfId="0" applyFont="1" applyFill="1" applyBorder="1" applyAlignment="1">
      <alignment horizontal="left" vertical="center" wrapText="1" indent="1"/>
    </xf>
    <xf numFmtId="0" fontId="8" fillId="2" borderId="18" xfId="0" applyFont="1" applyFill="1" applyBorder="1"/>
    <xf numFmtId="0" fontId="9" fillId="7" borderId="0" xfId="0" applyFont="1" applyFill="1" applyAlignment="1">
      <alignment horizontal="left" vertical="center"/>
    </xf>
    <xf numFmtId="0" fontId="9" fillId="9" borderId="0" xfId="0" applyFont="1" applyFill="1" applyAlignment="1">
      <alignment horizontal="left" vertical="center"/>
    </xf>
    <xf numFmtId="0" fontId="11" fillId="0" borderId="0" xfId="0" applyFont="1"/>
    <xf numFmtId="0" fontId="20" fillId="0" borderId="0" xfId="0" applyFont="1"/>
    <xf numFmtId="0" fontId="13" fillId="0" borderId="0" xfId="0" applyFont="1"/>
    <xf numFmtId="0" fontId="5" fillId="0" borderId="0" xfId="0" applyFont="1" applyAlignment="1">
      <alignment horizontal="center"/>
    </xf>
    <xf numFmtId="0" fontId="20" fillId="0" borderId="0" xfId="0" applyFont="1" applyAlignment="1">
      <alignment horizontal="left"/>
    </xf>
    <xf numFmtId="0" fontId="11" fillId="0" borderId="2" xfId="0" applyFont="1" applyBorder="1" applyAlignment="1">
      <alignment horizontal="center"/>
    </xf>
    <xf numFmtId="0" fontId="9" fillId="0" borderId="2" xfId="0" applyFont="1" applyBorder="1"/>
    <xf numFmtId="0" fontId="0" fillId="0" borderId="2" xfId="0" applyBorder="1" applyAlignment="1">
      <alignment vertical="center"/>
    </xf>
    <xf numFmtId="0" fontId="0" fillId="0" borderId="2" xfId="0" applyBorder="1" applyAlignment="1">
      <alignment vertical="center" wrapText="1"/>
    </xf>
    <xf numFmtId="0" fontId="0" fillId="3" borderId="22" xfId="0" applyFill="1" applyBorder="1" applyAlignment="1">
      <alignment horizontal="center"/>
    </xf>
    <xf numFmtId="0" fontId="15" fillId="0" borderId="0" xfId="1" applyAlignment="1">
      <alignment vertical="center"/>
    </xf>
    <xf numFmtId="0" fontId="15" fillId="0" borderId="0" xfId="1" applyAlignment="1" applyProtection="1">
      <alignment vertical="center"/>
    </xf>
    <xf numFmtId="0" fontId="15" fillId="0" borderId="0" xfId="1" applyAlignment="1" applyProtection="1"/>
    <xf numFmtId="0" fontId="15" fillId="0" borderId="0" xfId="1"/>
    <xf numFmtId="0" fontId="2" fillId="0" borderId="18" xfId="0" applyFont="1" applyBorder="1" applyAlignment="1">
      <alignment horizontal="center" vertical="center"/>
    </xf>
    <xf numFmtId="0" fontId="9" fillId="0" borderId="2" xfId="0" applyFont="1" applyBorder="1" applyAlignment="1">
      <alignment horizontal="center" vertical="center"/>
    </xf>
    <xf numFmtId="0" fontId="0" fillId="0" borderId="0" xfId="0" applyAlignment="1">
      <alignment horizontal="left" indent="1"/>
    </xf>
    <xf numFmtId="0" fontId="0" fillId="0" borderId="33" xfId="0" applyBorder="1"/>
    <xf numFmtId="0" fontId="2" fillId="0" borderId="2" xfId="0" applyFont="1" applyBorder="1" applyAlignment="1">
      <alignment horizontal="center" vertical="center" wrapText="1"/>
    </xf>
    <xf numFmtId="164" fontId="0" fillId="0" borderId="2" xfId="0" applyNumberFormat="1" applyBorder="1" applyAlignment="1">
      <alignment horizontal="center"/>
    </xf>
    <xf numFmtId="0" fontId="9" fillId="12" borderId="34" xfId="0" applyFont="1" applyFill="1" applyBorder="1" applyAlignment="1">
      <alignment vertical="center"/>
    </xf>
    <xf numFmtId="0" fontId="0" fillId="12" borderId="0" xfId="0" applyFill="1"/>
    <xf numFmtId="164" fontId="0" fillId="0" borderId="2" xfId="0" applyNumberFormat="1" applyBorder="1"/>
    <xf numFmtId="0" fontId="2" fillId="0" borderId="20" xfId="0" applyFont="1" applyBorder="1" applyAlignment="1">
      <alignment horizontal="center" vertical="center" wrapText="1"/>
    </xf>
    <xf numFmtId="164" fontId="0" fillId="0" borderId="20" xfId="0" applyNumberFormat="1" applyBorder="1" applyAlignment="1">
      <alignment horizontal="center"/>
    </xf>
    <xf numFmtId="164" fontId="0" fillId="0" borderId="20" xfId="0" applyNumberFormat="1" applyBorder="1"/>
    <xf numFmtId="1" fontId="9" fillId="0" borderId="37" xfId="0" applyNumberFormat="1" applyFont="1" applyBorder="1" applyAlignment="1">
      <alignment horizontal="center" vertical="center"/>
    </xf>
    <xf numFmtId="0" fontId="0" fillId="0" borderId="37" xfId="0" applyBorder="1" applyAlignment="1">
      <alignment horizontal="center" vertical="center"/>
    </xf>
    <xf numFmtId="0" fontId="21" fillId="3" borderId="20" xfId="0" applyFont="1" applyFill="1" applyBorder="1" applyAlignment="1">
      <alignment vertical="center"/>
    </xf>
    <xf numFmtId="0" fontId="22" fillId="6" borderId="5" xfId="0" applyFont="1" applyFill="1" applyBorder="1" applyAlignment="1">
      <alignment horizontal="center" vertical="center"/>
    </xf>
    <xf numFmtId="0" fontId="22" fillId="6" borderId="21" xfId="0" applyFont="1" applyFill="1" applyBorder="1" applyAlignment="1">
      <alignment horizontal="center" vertical="center"/>
    </xf>
    <xf numFmtId="0" fontId="22" fillId="4" borderId="21" xfId="0" applyFont="1" applyFill="1" applyBorder="1" applyAlignment="1">
      <alignment horizontal="center" vertical="center"/>
    </xf>
    <xf numFmtId="0" fontId="22" fillId="6" borderId="3" xfId="0" applyFont="1" applyFill="1" applyBorder="1" applyAlignment="1">
      <alignment horizontal="center" vertical="center"/>
    </xf>
    <xf numFmtId="0" fontId="22" fillId="4" borderId="5" xfId="0" applyFont="1" applyFill="1" applyBorder="1" applyAlignment="1">
      <alignment horizontal="center" vertical="center"/>
    </xf>
    <xf numFmtId="0" fontId="22" fillId="7" borderId="21" xfId="0" applyFont="1" applyFill="1" applyBorder="1" applyAlignment="1">
      <alignment horizontal="center" vertical="center"/>
    </xf>
    <xf numFmtId="0" fontId="22" fillId="8" borderId="21" xfId="0" applyFont="1" applyFill="1" applyBorder="1" applyAlignment="1">
      <alignment horizontal="center" vertical="center"/>
    </xf>
    <xf numFmtId="0" fontId="0" fillId="3" borderId="0" xfId="0" applyFill="1" applyAlignment="1">
      <alignment horizontal="center"/>
    </xf>
    <xf numFmtId="0" fontId="0" fillId="3" borderId="0" xfId="0" applyFill="1" applyAlignment="1">
      <alignment horizontal="center" vertical="center"/>
    </xf>
    <xf numFmtId="0" fontId="25" fillId="0" borderId="21" xfId="0" applyFont="1" applyBorder="1" applyAlignment="1">
      <alignment horizontal="center" vertical="center"/>
    </xf>
    <xf numFmtId="0" fontId="21" fillId="3" borderId="18" xfId="0" applyFont="1" applyFill="1" applyBorder="1" applyAlignment="1">
      <alignment horizontal="center" vertical="center"/>
    </xf>
    <xf numFmtId="0" fontId="21" fillId="3" borderId="19" xfId="0" applyFont="1" applyFill="1" applyBorder="1" applyAlignment="1">
      <alignment vertical="center"/>
    </xf>
    <xf numFmtId="0" fontId="11" fillId="7" borderId="0" xfId="0" applyFont="1" applyFill="1" applyAlignment="1">
      <alignment vertical="center"/>
    </xf>
    <xf numFmtId="0" fontId="26" fillId="0" borderId="0" xfId="0" applyFont="1" applyAlignment="1">
      <alignment horizontal="center" vertical="center" wrapText="1" readingOrder="1"/>
    </xf>
    <xf numFmtId="0" fontId="23" fillId="0" borderId="0" xfId="0" applyFont="1" applyAlignment="1">
      <alignment horizontal="left" vertical="center" wrapText="1" readingOrder="1"/>
    </xf>
    <xf numFmtId="0" fontId="23" fillId="0" borderId="0" xfId="0" applyFont="1" applyAlignment="1">
      <alignment horizontal="center" vertical="center" wrapText="1" readingOrder="1"/>
    </xf>
    <xf numFmtId="0" fontId="23" fillId="0" borderId="0" xfId="0" applyFont="1" applyAlignment="1">
      <alignment horizontal="left" wrapText="1" readingOrder="1"/>
    </xf>
    <xf numFmtId="0" fontId="24" fillId="0" borderId="0" xfId="0" applyFont="1" applyAlignment="1">
      <alignment horizontal="center" vertical="center" wrapText="1" readingOrder="1"/>
    </xf>
    <xf numFmtId="0" fontId="24" fillId="0" borderId="0" xfId="0" applyFont="1" applyAlignment="1">
      <alignment horizontal="left" vertical="center" wrapText="1" readingOrder="1"/>
    </xf>
    <xf numFmtId="0" fontId="9" fillId="3" borderId="18" xfId="0" applyFont="1" applyFill="1" applyBorder="1" applyAlignment="1">
      <alignment horizontal="left" vertical="center"/>
    </xf>
    <xf numFmtId="0" fontId="9" fillId="3" borderId="19" xfId="0" applyFont="1" applyFill="1" applyBorder="1" applyAlignment="1">
      <alignment horizontal="left" vertical="center"/>
    </xf>
    <xf numFmtId="0" fontId="9" fillId="3" borderId="20" xfId="0" applyFont="1" applyFill="1" applyBorder="1" applyAlignment="1">
      <alignment horizontal="left"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12" borderId="33" xfId="0" applyFill="1" applyBorder="1" applyAlignment="1">
      <alignment horizontal="center"/>
    </xf>
    <xf numFmtId="0" fontId="0" fillId="12" borderId="35" xfId="0" applyFill="1" applyBorder="1" applyAlignment="1">
      <alignment horizontal="center"/>
    </xf>
    <xf numFmtId="0" fontId="2" fillId="0" borderId="39" xfId="0" applyFont="1" applyBorder="1" applyAlignment="1">
      <alignment horizontal="center" vertical="center"/>
    </xf>
    <xf numFmtId="0" fontId="22" fillId="12" borderId="40" xfId="0" applyFont="1" applyFill="1" applyBorder="1" applyAlignment="1">
      <alignment vertical="center"/>
    </xf>
    <xf numFmtId="1" fontId="9" fillId="0" borderId="41" xfId="0" applyNumberFormat="1" applyFont="1" applyBorder="1" applyAlignment="1">
      <alignment horizontal="center" vertical="center"/>
    </xf>
    <xf numFmtId="0" fontId="2" fillId="0" borderId="36" xfId="0" applyFont="1" applyBorder="1" applyAlignment="1">
      <alignment horizontal="center" vertical="center"/>
    </xf>
    <xf numFmtId="0" fontId="9" fillId="12" borderId="0" xfId="0" applyFont="1" applyFill="1"/>
    <xf numFmtId="0" fontId="0" fillId="12" borderId="44" xfId="0" applyFill="1" applyBorder="1" applyAlignment="1">
      <alignment horizontal="center"/>
    </xf>
    <xf numFmtId="0" fontId="0" fillId="12" borderId="40" xfId="0" applyFill="1" applyBorder="1"/>
    <xf numFmtId="0" fontId="0" fillId="12" borderId="45" xfId="0" applyFill="1" applyBorder="1"/>
    <xf numFmtId="1" fontId="9" fillId="0" borderId="48" xfId="0" applyNumberFormat="1" applyFont="1" applyBorder="1" applyAlignment="1">
      <alignment horizontal="center" vertical="center"/>
    </xf>
    <xf numFmtId="0" fontId="9" fillId="4" borderId="2" xfId="0" applyFont="1" applyFill="1" applyBorder="1"/>
    <xf numFmtId="0" fontId="9" fillId="5" borderId="2" xfId="0" applyFont="1" applyFill="1" applyBorder="1"/>
    <xf numFmtId="0" fontId="9" fillId="6" borderId="2" xfId="0" applyFont="1" applyFill="1" applyBorder="1"/>
    <xf numFmtId="0" fontId="0" fillId="0" borderId="0" xfId="0" applyAlignment="1">
      <alignment horizontal="right" vertical="center"/>
    </xf>
    <xf numFmtId="0" fontId="22" fillId="6" borderId="5" xfId="0" applyFont="1" applyFill="1" applyBorder="1" applyAlignment="1">
      <alignment horizontal="left" vertical="center"/>
    </xf>
    <xf numFmtId="0" fontId="22" fillId="6" borderId="21" xfId="0" applyFont="1" applyFill="1" applyBorder="1" applyAlignment="1">
      <alignment horizontal="left" vertical="center"/>
    </xf>
    <xf numFmtId="0" fontId="22" fillId="6" borderId="3" xfId="0" applyFont="1" applyFill="1" applyBorder="1" applyAlignment="1">
      <alignment horizontal="left" vertical="center"/>
    </xf>
    <xf numFmtId="0" fontId="22" fillId="4" borderId="5" xfId="0" applyFont="1" applyFill="1" applyBorder="1" applyAlignment="1">
      <alignment horizontal="left" vertical="center"/>
    </xf>
    <xf numFmtId="0" fontId="22" fillId="4" borderId="21" xfId="0" applyFont="1" applyFill="1" applyBorder="1" applyAlignment="1">
      <alignment horizontal="left" vertical="center"/>
    </xf>
    <xf numFmtId="0" fontId="22" fillId="7" borderId="21" xfId="0" applyFont="1" applyFill="1" applyBorder="1" applyAlignment="1">
      <alignment horizontal="left" vertical="center"/>
    </xf>
    <xf numFmtId="0" fontId="22" fillId="8" borderId="21" xfId="0" applyFont="1" applyFill="1" applyBorder="1" applyAlignment="1">
      <alignment horizontal="left" vertical="center"/>
    </xf>
    <xf numFmtId="0" fontId="0" fillId="0" borderId="18" xfId="0" applyBorder="1" applyAlignment="1">
      <alignment horizontal="center" vertical="center"/>
    </xf>
    <xf numFmtId="0" fontId="15" fillId="0" borderId="0" xfId="1" applyFill="1" applyBorder="1"/>
    <xf numFmtId="0" fontId="20" fillId="0" borderId="0" xfId="0" applyFont="1" applyAlignment="1">
      <alignment horizontal="right"/>
    </xf>
    <xf numFmtId="0" fontId="0" fillId="0" borderId="8" xfId="0" applyBorder="1" applyAlignment="1">
      <alignment horizontal="center" vertical="center"/>
    </xf>
    <xf numFmtId="0" fontId="2" fillId="9" borderId="22" xfId="0" applyFont="1" applyFill="1" applyBorder="1" applyAlignment="1">
      <alignment horizontal="center" vertical="center"/>
    </xf>
    <xf numFmtId="0" fontId="11" fillId="0" borderId="4" xfId="0" applyFont="1" applyBorder="1" applyAlignment="1">
      <alignment vertical="center"/>
    </xf>
    <xf numFmtId="0" fontId="4" fillId="0" borderId="0" xfId="0" applyFont="1" applyAlignment="1">
      <alignment vertical="center"/>
    </xf>
    <xf numFmtId="0" fontId="15" fillId="0" borderId="0" xfId="1" applyFill="1" applyBorder="1" applyAlignment="1">
      <alignment vertical="center" wrapText="1"/>
    </xf>
    <xf numFmtId="0" fontId="15" fillId="0" borderId="0" xfId="1" applyFill="1" applyBorder="1" applyAlignment="1">
      <alignment wrapText="1"/>
    </xf>
    <xf numFmtId="0" fontId="16" fillId="0" borderId="0" xfId="2" applyFill="1" applyBorder="1" applyAlignment="1" applyProtection="1">
      <alignment vertical="center"/>
    </xf>
    <xf numFmtId="0" fontId="15" fillId="0" borderId="0" xfId="1" applyFill="1" applyBorder="1" applyAlignment="1" applyProtection="1">
      <alignment vertical="center"/>
    </xf>
    <xf numFmtId="0" fontId="15" fillId="0" borderId="0" xfId="1" applyFill="1" applyBorder="1" applyAlignment="1">
      <alignment vertical="center"/>
    </xf>
    <xf numFmtId="0" fontId="16" fillId="0" borderId="0" xfId="2" applyFill="1" applyBorder="1" applyAlignment="1" applyProtection="1"/>
    <xf numFmtId="0" fontId="15" fillId="0" borderId="0" xfId="1" applyFill="1" applyBorder="1" applyAlignment="1" applyProtection="1"/>
    <xf numFmtId="0" fontId="15" fillId="0" borderId="0" xfId="1" applyFill="1" applyBorder="1" applyAlignment="1"/>
    <xf numFmtId="0" fontId="0" fillId="19" borderId="0" xfId="0" applyFill="1"/>
    <xf numFmtId="0" fontId="9" fillId="6" borderId="2" xfId="0" applyFont="1" applyFill="1" applyBorder="1" applyAlignment="1">
      <alignment horizontal="center" vertical="center"/>
    </xf>
    <xf numFmtId="0" fontId="9" fillId="4" borderId="19" xfId="0" applyFont="1" applyFill="1" applyBorder="1" applyAlignment="1">
      <alignment horizontal="center" vertical="center"/>
    </xf>
    <xf numFmtId="0" fontId="9" fillId="15" borderId="2" xfId="0" applyFont="1" applyFill="1" applyBorder="1" applyAlignment="1">
      <alignment horizontal="center" vertical="center"/>
    </xf>
    <xf numFmtId="0" fontId="9" fillId="8" borderId="2" xfId="0" applyFont="1" applyFill="1" applyBorder="1" applyAlignment="1">
      <alignment horizontal="center" vertical="center"/>
    </xf>
    <xf numFmtId="0" fontId="11" fillId="0" borderId="9" xfId="0" applyFont="1" applyBorder="1" applyAlignment="1">
      <alignment vertical="center"/>
    </xf>
    <xf numFmtId="0" fontId="2" fillId="0" borderId="2" xfId="0" applyFont="1" applyBorder="1" applyAlignment="1">
      <alignment horizontal="left" vertical="center"/>
    </xf>
    <xf numFmtId="0" fontId="2" fillId="0" borderId="19"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8" borderId="21" xfId="0" applyFont="1" applyFill="1" applyBorder="1" applyAlignment="1">
      <alignment horizontal="center" vertical="center"/>
    </xf>
    <xf numFmtId="0" fontId="2" fillId="9" borderId="21" xfId="0" applyFont="1" applyFill="1" applyBorder="1" applyAlignment="1">
      <alignment horizontal="center" vertical="center"/>
    </xf>
    <xf numFmtId="0" fontId="2" fillId="3" borderId="20" xfId="0" applyFont="1" applyFill="1" applyBorder="1" applyAlignment="1">
      <alignment horizontal="center" vertical="center" wrapText="1"/>
    </xf>
    <xf numFmtId="0" fontId="9" fillId="0" borderId="0" xfId="0" applyFont="1" applyAlignment="1">
      <alignment horizontal="left" vertical="center"/>
    </xf>
    <xf numFmtId="0" fontId="0" fillId="16" borderId="21" xfId="0" applyFill="1" applyBorder="1" applyAlignment="1">
      <alignment horizontal="center" wrapText="1"/>
    </xf>
    <xf numFmtId="0" fontId="0" fillId="16" borderId="22" xfId="0" applyFill="1" applyBorder="1" applyAlignment="1">
      <alignment horizontal="center" wrapText="1"/>
    </xf>
    <xf numFmtId="0" fontId="0" fillId="16" borderId="21" xfId="0" applyFill="1" applyBorder="1" applyAlignment="1">
      <alignment horizontal="center"/>
    </xf>
    <xf numFmtId="0" fontId="0" fillId="16" borderId="22" xfId="0" applyFill="1" applyBorder="1" applyAlignment="1">
      <alignment horizontal="center"/>
    </xf>
    <xf numFmtId="0" fontId="22" fillId="0" borderId="0" xfId="0" applyFont="1" applyAlignment="1">
      <alignment vertical="center"/>
    </xf>
    <xf numFmtId="0" fontId="2" fillId="0" borderId="0" xfId="0" applyFont="1" applyAlignment="1">
      <alignment horizontal="center" vertical="center" wrapText="1"/>
    </xf>
    <xf numFmtId="0" fontId="9" fillId="0" borderId="0" xfId="0" applyFont="1" applyAlignment="1">
      <alignment vertical="center"/>
    </xf>
    <xf numFmtId="1" fontId="13" fillId="0" borderId="0" xfId="0" applyNumberFormat="1" applyFont="1" applyAlignment="1">
      <alignment horizontal="center" vertical="center"/>
    </xf>
    <xf numFmtId="164" fontId="0" fillId="0" borderId="0" xfId="0" applyNumberFormat="1" applyAlignment="1">
      <alignment horizontal="center"/>
    </xf>
    <xf numFmtId="164" fontId="0" fillId="0" borderId="0" xfId="0" applyNumberFormat="1"/>
    <xf numFmtId="164" fontId="0" fillId="0" borderId="0" xfId="0" applyNumberFormat="1" applyAlignment="1">
      <alignment horizontal="center" vertical="center"/>
    </xf>
    <xf numFmtId="0" fontId="9" fillId="8" borderId="21" xfId="0" applyFont="1" applyFill="1" applyBorder="1" applyAlignment="1">
      <alignment horizontal="center" vertical="center"/>
    </xf>
    <xf numFmtId="0" fontId="9" fillId="6" borderId="3" xfId="0" applyFont="1" applyFill="1" applyBorder="1" applyAlignment="1">
      <alignment horizontal="center" vertical="center"/>
    </xf>
    <xf numFmtId="0" fontId="9" fillId="4" borderId="21" xfId="0" applyFont="1" applyFill="1" applyBorder="1" applyAlignment="1">
      <alignment horizontal="center" vertical="center"/>
    </xf>
    <xf numFmtId="0" fontId="9" fillId="15" borderId="4" xfId="0" applyFont="1" applyFill="1" applyBorder="1" applyAlignment="1">
      <alignment horizontal="center" vertical="center"/>
    </xf>
    <xf numFmtId="0" fontId="0" fillId="0" borderId="5" xfId="0" applyBorder="1"/>
    <xf numFmtId="1" fontId="9" fillId="0" borderId="0" xfId="0" applyNumberFormat="1" applyFont="1" applyAlignment="1">
      <alignment horizontal="center" vertical="center"/>
    </xf>
    <xf numFmtId="164" fontId="0" fillId="12" borderId="2" xfId="0" applyNumberFormat="1" applyFill="1" applyBorder="1"/>
    <xf numFmtId="0" fontId="7" fillId="0" borderId="6" xfId="0" applyFont="1" applyBorder="1" applyAlignment="1">
      <alignment vertical="center"/>
    </xf>
    <xf numFmtId="0" fontId="7" fillId="0" borderId="0" xfId="0" applyFont="1" applyAlignment="1">
      <alignment vertical="center"/>
    </xf>
    <xf numFmtId="0" fontId="2" fillId="9" borderId="2" xfId="0" applyFont="1" applyFill="1" applyBorder="1" applyAlignment="1">
      <alignment horizontal="center" vertical="center"/>
    </xf>
    <xf numFmtId="0" fontId="4" fillId="0" borderId="4" xfId="0" applyFont="1" applyBorder="1" applyAlignment="1">
      <alignment vertical="center"/>
    </xf>
    <xf numFmtId="0" fontId="2" fillId="4" borderId="0" xfId="0" applyFont="1" applyFill="1"/>
    <xf numFmtId="0" fontId="2" fillId="3" borderId="0" xfId="0" applyFont="1" applyFill="1"/>
    <xf numFmtId="0" fontId="2" fillId="6" borderId="0" xfId="0" applyFont="1" applyFill="1"/>
    <xf numFmtId="0" fontId="2" fillId="8" borderId="0" xfId="0" applyFont="1" applyFill="1"/>
    <xf numFmtId="0" fontId="2" fillId="4" borderId="0" xfId="0" applyFont="1" applyFill="1" applyAlignment="1">
      <alignment horizontal="right"/>
    </xf>
    <xf numFmtId="0" fontId="2" fillId="3" borderId="0" xfId="0" applyFont="1" applyFill="1" applyAlignment="1">
      <alignment horizontal="right"/>
    </xf>
    <xf numFmtId="0" fontId="2" fillId="6" borderId="0" xfId="0" applyFont="1" applyFill="1" applyAlignment="1">
      <alignment horizontal="right"/>
    </xf>
    <xf numFmtId="0" fontId="2" fillId="8" borderId="0" xfId="0" applyFont="1" applyFill="1" applyAlignment="1">
      <alignment horizontal="right"/>
    </xf>
    <xf numFmtId="0" fontId="2" fillId="4" borderId="2" xfId="0" applyFont="1" applyFill="1" applyBorder="1"/>
    <xf numFmtId="0" fontId="2" fillId="5" borderId="2" xfId="0" applyFont="1" applyFill="1" applyBorder="1"/>
    <xf numFmtId="0" fontId="2" fillId="7" borderId="2" xfId="0" applyFont="1" applyFill="1" applyBorder="1"/>
    <xf numFmtId="0" fontId="2" fillId="6" borderId="2" xfId="0" applyFont="1" applyFill="1" applyBorder="1"/>
    <xf numFmtId="0" fontId="32" fillId="0" borderId="54" xfId="0" applyFont="1" applyBorder="1" applyAlignment="1">
      <alignment horizontal="left" vertical="center" indent="1"/>
    </xf>
    <xf numFmtId="0" fontId="32" fillId="0" borderId="0" xfId="0" applyFont="1" applyAlignment="1">
      <alignment horizontal="left" vertical="center" indent="1"/>
    </xf>
    <xf numFmtId="0" fontId="32" fillId="0" borderId="9" xfId="0" applyFont="1" applyBorder="1" applyAlignment="1">
      <alignment horizontal="left" vertical="center" indent="1"/>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20" xfId="0" applyFont="1" applyBorder="1" applyAlignment="1">
      <alignment horizontal="center" vertical="center"/>
    </xf>
    <xf numFmtId="0" fontId="2" fillId="3" borderId="2" xfId="0" applyFont="1" applyFill="1" applyBorder="1"/>
    <xf numFmtId="0" fontId="2" fillId="8" borderId="21" xfId="0" applyFont="1" applyFill="1" applyBorder="1"/>
    <xf numFmtId="0" fontId="2" fillId="5" borderId="0" xfId="0" applyFont="1" applyFill="1" applyAlignment="1">
      <alignment horizontal="center" vertical="center"/>
    </xf>
    <xf numFmtId="0" fontId="2" fillId="3" borderId="0" xfId="0" applyFont="1" applyFill="1" applyAlignment="1">
      <alignment horizontal="center" vertical="center"/>
    </xf>
    <xf numFmtId="0" fontId="0" fillId="16" borderId="51" xfId="0" applyFill="1" applyBorder="1" applyAlignment="1">
      <alignment horizontal="center" vertical="center"/>
    </xf>
    <xf numFmtId="0" fontId="9" fillId="0" borderId="2" xfId="0" applyFont="1" applyBorder="1" applyAlignment="1">
      <alignment horizontal="left" vertical="center"/>
    </xf>
    <xf numFmtId="0" fontId="2" fillId="18" borderId="22" xfId="0" applyFont="1" applyFill="1" applyBorder="1" applyAlignment="1">
      <alignment horizontal="center" vertical="center"/>
    </xf>
    <xf numFmtId="0" fontId="2" fillId="0" borderId="22" xfId="0" applyFont="1" applyBorder="1" applyAlignment="1">
      <alignment horizontal="center" vertical="center"/>
    </xf>
    <xf numFmtId="0" fontId="2" fillId="8" borderId="22" xfId="0" applyFont="1" applyFill="1" applyBorder="1" applyAlignment="1">
      <alignment horizontal="center" vertical="center"/>
    </xf>
    <xf numFmtId="0" fontId="2" fillId="0" borderId="6" xfId="0" applyFont="1" applyBorder="1" applyAlignment="1">
      <alignment horizontal="center" vertical="center"/>
    </xf>
    <xf numFmtId="0" fontId="2" fillId="0" borderId="49" xfId="0" applyFont="1" applyBorder="1" applyAlignment="1">
      <alignment horizontal="center" vertical="center"/>
    </xf>
    <xf numFmtId="0" fontId="2" fillId="18" borderId="0" xfId="0" applyFont="1" applyFill="1" applyAlignment="1">
      <alignment horizontal="center" vertical="center"/>
    </xf>
    <xf numFmtId="0" fontId="2" fillId="18" borderId="2" xfId="0" applyFont="1" applyFill="1" applyBorder="1" applyAlignment="1">
      <alignment horizontal="center" vertical="center"/>
    </xf>
    <xf numFmtId="0" fontId="2" fillId="8" borderId="19" xfId="0" applyFont="1" applyFill="1" applyBorder="1" applyAlignment="1">
      <alignment horizontal="center" vertical="center"/>
    </xf>
    <xf numFmtId="0" fontId="2" fillId="0" borderId="23" xfId="0" applyFont="1" applyBorder="1" applyAlignment="1">
      <alignment horizontal="center" vertical="center" wrapText="1"/>
    </xf>
    <xf numFmtId="0" fontId="2" fillId="0" borderId="9" xfId="0" applyFont="1" applyBorder="1" applyAlignment="1">
      <alignment horizontal="center" vertical="center" wrapText="1"/>
    </xf>
    <xf numFmtId="0" fontId="2" fillId="18" borderId="21" xfId="0" applyFont="1" applyFill="1" applyBorder="1" applyAlignment="1">
      <alignment horizontal="center" vertical="center"/>
    </xf>
    <xf numFmtId="0" fontId="2" fillId="0" borderId="23" xfId="0" applyFont="1" applyBorder="1" applyAlignment="1">
      <alignment horizontal="center" vertical="center"/>
    </xf>
    <xf numFmtId="0" fontId="0" fillId="3" borderId="51" xfId="0" applyFill="1" applyBorder="1" applyAlignment="1">
      <alignment horizontal="center" vertical="center"/>
    </xf>
    <xf numFmtId="0" fontId="0" fillId="3" borderId="38" xfId="0" applyFill="1" applyBorder="1" applyAlignment="1">
      <alignment horizontal="center" vertical="center"/>
    </xf>
    <xf numFmtId="0" fontId="2" fillId="0" borderId="0" xfId="0" applyFont="1" applyAlignment="1">
      <alignment vertical="center" wrapText="1"/>
    </xf>
    <xf numFmtId="0" fontId="16" fillId="0" borderId="0" xfId="2" applyAlignment="1" applyProtection="1"/>
    <xf numFmtId="0" fontId="2" fillId="0" borderId="0" xfId="0" applyFont="1" applyAlignment="1">
      <alignment vertical="center"/>
    </xf>
    <xf numFmtId="0" fontId="2" fillId="0" borderId="2" xfId="0" applyFont="1" applyBorder="1" applyAlignment="1">
      <alignment vertical="center" wrapText="1"/>
    </xf>
    <xf numFmtId="0" fontId="16" fillId="0" borderId="0" xfId="2" applyAlignment="1" applyProtection="1">
      <alignment vertical="center"/>
    </xf>
    <xf numFmtId="0" fontId="0" fillId="0" borderId="2" xfId="0" applyBorder="1" applyAlignment="1">
      <alignment wrapText="1"/>
    </xf>
    <xf numFmtId="0" fontId="1" fillId="0" borderId="2" xfId="0" applyFont="1" applyBorder="1" applyAlignment="1">
      <alignment horizontal="center" vertical="center"/>
    </xf>
    <xf numFmtId="164" fontId="0" fillId="12" borderId="20" xfId="0" applyNumberFormat="1" applyFill="1" applyBorder="1"/>
    <xf numFmtId="0" fontId="2" fillId="0" borderId="56" xfId="0" applyFont="1" applyBorder="1" applyAlignment="1">
      <alignment horizontal="center" vertical="center"/>
    </xf>
    <xf numFmtId="0" fontId="0" fillId="12" borderId="38" xfId="0" applyFill="1" applyBorder="1" applyAlignment="1">
      <alignment horizontal="center" vertical="center"/>
    </xf>
    <xf numFmtId="0" fontId="22" fillId="12" borderId="0" xfId="0" applyFont="1" applyFill="1" applyAlignment="1">
      <alignment vertical="center"/>
    </xf>
    <xf numFmtId="0" fontId="0" fillId="12" borderId="0" xfId="0" applyFill="1" applyAlignment="1">
      <alignment vertical="center"/>
    </xf>
    <xf numFmtId="0" fontId="0" fillId="12" borderId="46" xfId="0" applyFill="1" applyBorder="1"/>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left" vertical="center" wrapText="1"/>
    </xf>
    <xf numFmtId="0" fontId="7" fillId="0" borderId="0" xfId="0" applyFont="1" applyAlignment="1">
      <alignment wrapText="1"/>
    </xf>
    <xf numFmtId="0" fontId="0" fillId="22" borderId="2" xfId="0" applyFill="1" applyBorder="1" applyAlignment="1">
      <alignment horizontal="center" vertical="center" wrapText="1"/>
    </xf>
    <xf numFmtId="0" fontId="2" fillId="12" borderId="0" xfId="0" applyFont="1" applyFill="1" applyAlignment="1">
      <alignment horizontal="right"/>
    </xf>
    <xf numFmtId="0" fontId="2" fillId="12" borderId="0" xfId="0" applyFont="1" applyFill="1"/>
    <xf numFmtId="0" fontId="0" fillId="12" borderId="7" xfId="0" applyFill="1" applyBorder="1" applyAlignment="1">
      <alignment horizontal="center" vertical="center"/>
    </xf>
    <xf numFmtId="0" fontId="4" fillId="12" borderId="0" xfId="0" applyFont="1" applyFill="1" applyAlignment="1">
      <alignment vertical="center"/>
    </xf>
    <xf numFmtId="2" fontId="0" fillId="11" borderId="6" xfId="0" applyNumberFormat="1" applyFill="1" applyBorder="1" applyAlignment="1">
      <alignment horizontal="center"/>
    </xf>
    <xf numFmtId="2" fontId="0" fillId="0" borderId="0" xfId="0" applyNumberFormat="1" applyAlignment="1">
      <alignment horizontal="center"/>
    </xf>
    <xf numFmtId="0" fontId="28" fillId="0" borderId="0" xfId="0" applyFont="1" applyAlignment="1">
      <alignment horizontal="center" vertical="center"/>
    </xf>
    <xf numFmtId="0" fontId="31" fillId="0" borderId="0" xfId="0" applyFont="1" applyAlignment="1">
      <alignment horizontal="left" wrapText="1" indent="1"/>
    </xf>
    <xf numFmtId="0" fontId="28" fillId="0" borderId="0" xfId="0" applyFont="1" applyAlignment="1">
      <alignment horizontal="center" vertical="center" wrapText="1"/>
    </xf>
    <xf numFmtId="0" fontId="31" fillId="0" borderId="0" xfId="0" applyFont="1" applyAlignment="1">
      <alignment horizontal="center" vertical="center"/>
    </xf>
    <xf numFmtId="0" fontId="30" fillId="0" borderId="0" xfId="0" applyFont="1" applyAlignment="1">
      <alignment horizontal="left" vertical="center" indent="1"/>
    </xf>
    <xf numFmtId="0" fontId="29" fillId="0" borderId="0" xfId="0" applyFont="1" applyAlignment="1">
      <alignment horizontal="center" vertical="center"/>
    </xf>
    <xf numFmtId="0" fontId="30" fillId="0" borderId="0" xfId="0" applyFont="1" applyAlignment="1">
      <alignment vertical="center" wrapText="1"/>
    </xf>
    <xf numFmtId="0" fontId="30" fillId="0" borderId="0" xfId="0" applyFont="1" applyAlignment="1">
      <alignment wrapText="1"/>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7" borderId="2" xfId="0" applyFill="1" applyBorder="1" applyAlignment="1">
      <alignment horizontal="center" vertical="center"/>
    </xf>
    <xf numFmtId="0" fontId="33" fillId="0" borderId="0" xfId="0" applyFont="1"/>
    <xf numFmtId="0" fontId="34" fillId="0" borderId="0" xfId="0" applyFont="1" applyAlignment="1">
      <alignment horizontal="center"/>
    </xf>
    <xf numFmtId="0" fontId="34" fillId="7" borderId="0" xfId="0" applyFont="1" applyFill="1" applyAlignment="1">
      <alignment horizontal="center"/>
    </xf>
    <xf numFmtId="0" fontId="34" fillId="0" borderId="12" xfId="0" applyFont="1" applyBorder="1" applyAlignment="1">
      <alignment horizontal="center"/>
    </xf>
    <xf numFmtId="0" fontId="0" fillId="0" borderId="9" xfId="0" applyBorder="1" applyAlignment="1">
      <alignment vertical="center"/>
    </xf>
    <xf numFmtId="0" fontId="15" fillId="0" borderId="9" xfId="1" applyBorder="1"/>
    <xf numFmtId="0" fontId="0" fillId="12" borderId="2" xfId="0" applyFill="1" applyBorder="1" applyAlignment="1">
      <alignment horizontal="center"/>
    </xf>
    <xf numFmtId="0" fontId="9" fillId="0" borderId="0" xfId="0" applyFont="1" applyAlignment="1">
      <alignment horizontal="left" vertical="center" indent="1"/>
    </xf>
    <xf numFmtId="0" fontId="9" fillId="0" borderId="0" xfId="0" applyFont="1" applyAlignment="1">
      <alignment horizontal="left" indent="1"/>
    </xf>
    <xf numFmtId="0" fontId="20" fillId="0" borderId="0" xfId="0" applyFont="1" applyAlignment="1">
      <alignment horizontal="left" vertical="center"/>
    </xf>
    <xf numFmtId="0" fontId="2" fillId="0" borderId="51" xfId="0" applyFont="1" applyBorder="1" applyAlignment="1">
      <alignment horizontal="center" vertical="center" wrapText="1"/>
    </xf>
    <xf numFmtId="0" fontId="11" fillId="0" borderId="0" xfId="0" applyFont="1" applyAlignment="1">
      <alignment horizontal="left" vertical="center"/>
    </xf>
    <xf numFmtId="0" fontId="8" fillId="2" borderId="2" xfId="0" applyFont="1" applyFill="1" applyBorder="1" applyAlignment="1">
      <alignment horizontal="center" vertical="center" wrapText="1"/>
    </xf>
    <xf numFmtId="0" fontId="0" fillId="16" borderId="0" xfId="0" applyFill="1" applyAlignment="1">
      <alignment horizontal="center"/>
    </xf>
    <xf numFmtId="2" fontId="0" fillId="11" borderId="22" xfId="0" applyNumberFormat="1" applyFill="1" applyBorder="1" applyAlignment="1">
      <alignment horizontal="center"/>
    </xf>
    <xf numFmtId="0" fontId="0" fillId="23" borderId="2" xfId="0" applyFill="1" applyBorder="1"/>
    <xf numFmtId="2" fontId="0" fillId="3" borderId="6" xfId="0" applyNumberFormat="1" applyFill="1" applyBorder="1" applyAlignment="1">
      <alignment horizontal="center"/>
    </xf>
    <xf numFmtId="0" fontId="0" fillId="3" borderId="6" xfId="0" applyFill="1" applyBorder="1" applyAlignment="1">
      <alignment horizontal="center"/>
    </xf>
    <xf numFmtId="2" fontId="0" fillId="3" borderId="22" xfId="0" applyNumberFormat="1" applyFill="1" applyBorder="1" applyAlignment="1">
      <alignment horizontal="center"/>
    </xf>
    <xf numFmtId="164" fontId="0" fillId="0" borderId="22" xfId="0" applyNumberFormat="1" applyBorder="1" applyAlignment="1">
      <alignment horizontal="center" vertical="center"/>
    </xf>
    <xf numFmtId="0" fontId="0" fillId="0" borderId="20" xfId="0" applyBorder="1" applyAlignment="1">
      <alignment horizontal="left" vertical="center"/>
    </xf>
    <xf numFmtId="0" fontId="1" fillId="2" borderId="21" xfId="0" applyFont="1" applyFill="1" applyBorder="1" applyAlignment="1">
      <alignment horizontal="center" vertical="center"/>
    </xf>
    <xf numFmtId="0" fontId="0" fillId="12" borderId="0" xfId="0" applyFill="1" applyAlignment="1">
      <alignment horizontal="center" vertical="center"/>
    </xf>
    <xf numFmtId="0" fontId="21" fillId="12" borderId="0" xfId="0" applyFont="1" applyFill="1" applyAlignment="1">
      <alignment vertical="center"/>
    </xf>
    <xf numFmtId="0" fontId="0" fillId="12" borderId="0" xfId="0" applyFill="1" applyAlignment="1">
      <alignment horizontal="center"/>
    </xf>
    <xf numFmtId="0" fontId="4" fillId="12" borderId="0" xfId="0" applyFont="1" applyFill="1"/>
    <xf numFmtId="0" fontId="0" fillId="11" borderId="6" xfId="0" applyFill="1" applyBorder="1" applyAlignment="1">
      <alignment horizontal="center"/>
    </xf>
    <xf numFmtId="0" fontId="4" fillId="0" borderId="19" xfId="0" applyFont="1" applyBorder="1" applyAlignment="1">
      <alignment vertical="center"/>
    </xf>
    <xf numFmtId="0" fontId="2" fillId="0" borderId="3" xfId="0" applyFont="1" applyBorder="1" applyAlignment="1">
      <alignment horizontal="center" vertical="center"/>
    </xf>
    <xf numFmtId="0" fontId="2" fillId="18" borderId="6" xfId="0" applyFont="1" applyFill="1" applyBorder="1" applyAlignment="1">
      <alignment horizontal="center" vertical="center"/>
    </xf>
    <xf numFmtId="0" fontId="2" fillId="8" borderId="6" xfId="0" applyFont="1" applyFill="1" applyBorder="1" applyAlignment="1">
      <alignment horizontal="center" vertical="center"/>
    </xf>
    <xf numFmtId="0" fontId="15" fillId="0" borderId="6" xfId="1" applyFill="1" applyBorder="1"/>
    <xf numFmtId="0" fontId="16" fillId="0" borderId="6" xfId="2" applyBorder="1" applyAlignment="1" applyProtection="1">
      <alignment vertical="center"/>
    </xf>
    <xf numFmtId="0" fontId="11" fillId="0" borderId="19" xfId="0" applyFont="1" applyBorder="1" applyAlignment="1">
      <alignment vertical="center"/>
    </xf>
    <xf numFmtId="0" fontId="2" fillId="0" borderId="2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0" fillId="3" borderId="6" xfId="0" applyFill="1" applyBorder="1" applyAlignment="1">
      <alignment horizontal="center" vertical="center"/>
    </xf>
    <xf numFmtId="0" fontId="0" fillId="16" borderId="48" xfId="0" applyFill="1" applyBorder="1" applyAlignment="1">
      <alignment horizontal="center" vertical="center"/>
    </xf>
    <xf numFmtId="0" fontId="2" fillId="3" borderId="52"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48" xfId="0" applyFont="1" applyFill="1"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16" borderId="50" xfId="0" applyFill="1" applyBorder="1" applyAlignment="1">
      <alignment horizontal="center" vertical="center"/>
    </xf>
    <xf numFmtId="0" fontId="2" fillId="9" borderId="7" xfId="0" applyFont="1" applyFill="1" applyBorder="1" applyAlignment="1">
      <alignment horizontal="center" vertical="center"/>
    </xf>
    <xf numFmtId="0" fontId="2" fillId="9" borderId="10" xfId="0" applyFont="1" applyFill="1" applyBorder="1" applyAlignment="1">
      <alignment horizontal="center"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10" xfId="0" applyFont="1" applyBorder="1" applyAlignment="1">
      <alignment vertical="center"/>
    </xf>
    <xf numFmtId="0" fontId="4" fillId="0" borderId="20" xfId="0" applyFont="1" applyBorder="1" applyAlignment="1">
      <alignment vertical="center"/>
    </xf>
    <xf numFmtId="0" fontId="0" fillId="0" borderId="36" xfId="0" applyBorder="1"/>
    <xf numFmtId="0" fontId="2" fillId="0" borderId="38" xfId="0" applyFont="1" applyBorder="1" applyAlignment="1">
      <alignment horizontal="center" vertical="center" wrapText="1"/>
    </xf>
    <xf numFmtId="0" fontId="4" fillId="12" borderId="6" xfId="0" applyFont="1" applyFill="1" applyBorder="1" applyAlignment="1">
      <alignment vertical="center"/>
    </xf>
    <xf numFmtId="0" fontId="4" fillId="12" borderId="18" xfId="0" applyFont="1" applyFill="1" applyBorder="1"/>
    <xf numFmtId="0" fontId="4" fillId="12" borderId="19" xfId="0" applyFont="1" applyFill="1" applyBorder="1"/>
    <xf numFmtId="0" fontId="11" fillId="20" borderId="21" xfId="0" applyFont="1" applyFill="1" applyBorder="1" applyAlignment="1">
      <alignment vertical="center"/>
    </xf>
    <xf numFmtId="0" fontId="11" fillId="20" borderId="22" xfId="0" applyFont="1" applyFill="1" applyBorder="1" applyAlignment="1">
      <alignment vertical="center"/>
    </xf>
    <xf numFmtId="0" fontId="11" fillId="20" borderId="23" xfId="0" applyFont="1" applyFill="1" applyBorder="1" applyAlignment="1">
      <alignment vertical="center"/>
    </xf>
    <xf numFmtId="2" fontId="2" fillId="13" borderId="21" xfId="0" applyNumberFormat="1" applyFont="1" applyFill="1" applyBorder="1" applyAlignment="1">
      <alignment vertical="center" wrapText="1"/>
    </xf>
    <xf numFmtId="2" fontId="2" fillId="13" borderId="22" xfId="0" applyNumberFormat="1" applyFont="1" applyFill="1" applyBorder="1" applyAlignment="1">
      <alignment vertical="center" wrapText="1"/>
    </xf>
    <xf numFmtId="2" fontId="2" fillId="13" borderId="23" xfId="0" applyNumberFormat="1" applyFont="1" applyFill="1"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27" fillId="21" borderId="18" xfId="0" applyFont="1" applyFill="1" applyBorder="1" applyAlignment="1">
      <alignment horizontal="center" vertical="center"/>
    </xf>
    <xf numFmtId="0" fontId="27" fillId="21" borderId="20" xfId="0" applyFont="1" applyFill="1" applyBorder="1" applyAlignment="1">
      <alignment horizontal="center" vertical="center"/>
    </xf>
    <xf numFmtId="0" fontId="0" fillId="0" borderId="0" xfId="0" applyAlignment="1">
      <alignment horizontal="center"/>
    </xf>
    <xf numFmtId="0" fontId="5" fillId="0" borderId="0" xfId="0" applyFont="1" applyAlignment="1">
      <alignment horizontal="left"/>
    </xf>
    <xf numFmtId="0" fontId="0" fillId="0" borderId="0" xfId="0" applyAlignment="1">
      <alignment horizontal="left"/>
    </xf>
    <xf numFmtId="0" fontId="11" fillId="0" borderId="0" xfId="0" applyFont="1" applyAlignment="1">
      <alignment horizontal="left" vertical="center"/>
    </xf>
    <xf numFmtId="0" fontId="2" fillId="0" borderId="2" xfId="0" applyFont="1" applyBorder="1" applyAlignment="1">
      <alignment horizontal="left" vertical="center"/>
    </xf>
    <xf numFmtId="0" fontId="9" fillId="0" borderId="2" xfId="0" applyFont="1" applyBorder="1" applyAlignment="1">
      <alignment horizontal="left"/>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6" borderId="2" xfId="0"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7" fillId="3" borderId="0" xfId="0" applyFont="1" applyFill="1" applyAlignment="1">
      <alignment horizontal="left" vertical="center"/>
    </xf>
    <xf numFmtId="0" fontId="7" fillId="3" borderId="9" xfId="0" applyFont="1" applyFill="1" applyBorder="1" applyAlignment="1">
      <alignment horizontal="left" vertical="center"/>
    </xf>
    <xf numFmtId="0" fontId="5" fillId="9" borderId="18" xfId="0" applyFont="1" applyFill="1" applyBorder="1" applyAlignment="1">
      <alignment horizontal="center" vertical="center"/>
    </xf>
    <xf numFmtId="0" fontId="5" fillId="9" borderId="19" xfId="0" applyFont="1" applyFill="1" applyBorder="1" applyAlignment="1">
      <alignment horizontal="center" vertical="center"/>
    </xf>
    <xf numFmtId="0" fontId="5" fillId="9" borderId="20" xfId="0" applyFont="1" applyFill="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9" borderId="19" xfId="0" applyFont="1" applyFill="1" applyBorder="1" applyAlignment="1">
      <alignment horizontal="center" vertical="center"/>
    </xf>
    <xf numFmtId="0" fontId="2" fillId="9" borderId="20" xfId="0" applyFont="1" applyFill="1" applyBorder="1" applyAlignment="1">
      <alignment horizontal="center" vertical="center"/>
    </xf>
    <xf numFmtId="0" fontId="11" fillId="0" borderId="18" xfId="0" applyFont="1" applyBorder="1" applyAlignment="1">
      <alignment horizontal="left" vertical="center"/>
    </xf>
    <xf numFmtId="0" fontId="11" fillId="0" borderId="20" xfId="0" applyFont="1" applyBorder="1" applyAlignment="1">
      <alignment horizontal="left" vertical="center"/>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7" fillId="10" borderId="18" xfId="0" applyFont="1" applyFill="1" applyBorder="1" applyAlignment="1">
      <alignment horizontal="center" vertical="center"/>
    </xf>
    <xf numFmtId="0" fontId="7" fillId="10" borderId="19" xfId="0" applyFont="1" applyFill="1" applyBorder="1" applyAlignment="1">
      <alignment horizontal="center" vertical="center"/>
    </xf>
    <xf numFmtId="0" fontId="7" fillId="10" borderId="24" xfId="0" applyFont="1" applyFill="1" applyBorder="1" applyAlignment="1">
      <alignment horizontal="center" vertical="center"/>
    </xf>
    <xf numFmtId="0" fontId="7" fillId="9" borderId="25" xfId="0" applyFont="1" applyFill="1" applyBorder="1" applyAlignment="1">
      <alignment horizontal="center" vertical="center"/>
    </xf>
    <xf numFmtId="0" fontId="0" fillId="9" borderId="19" xfId="0" applyFill="1" applyBorder="1" applyAlignment="1">
      <alignment horizontal="center" vertical="center"/>
    </xf>
    <xf numFmtId="0" fontId="0" fillId="9" borderId="20" xfId="0" applyFill="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7" fillId="3" borderId="3" xfId="0" applyFont="1" applyFill="1" applyBorder="1" applyAlignment="1">
      <alignment horizontal="left" vertical="center"/>
    </xf>
    <xf numFmtId="0" fontId="14" fillId="3" borderId="4" xfId="0" applyFont="1" applyFill="1" applyBorder="1" applyAlignment="1">
      <alignment horizontal="left" vertical="center"/>
    </xf>
    <xf numFmtId="0" fontId="14" fillId="3" borderId="5" xfId="0" applyFont="1" applyFill="1" applyBorder="1" applyAlignment="1">
      <alignment horizontal="left" vertical="center"/>
    </xf>
    <xf numFmtId="0" fontId="14" fillId="3" borderId="8" xfId="0" applyFont="1" applyFill="1" applyBorder="1" applyAlignment="1">
      <alignment horizontal="left" vertical="center"/>
    </xf>
    <xf numFmtId="0" fontId="14" fillId="3" borderId="9" xfId="0" applyFont="1" applyFill="1" applyBorder="1" applyAlignment="1">
      <alignment horizontal="left" vertical="center"/>
    </xf>
    <xf numFmtId="0" fontId="14" fillId="3" borderId="10" xfId="0" applyFont="1" applyFill="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9" borderId="18" xfId="0" applyFont="1" applyFill="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7" fillId="3" borderId="18" xfId="0" applyFont="1" applyFill="1" applyBorder="1" applyAlignment="1">
      <alignment horizontal="left" vertical="center"/>
    </xf>
    <xf numFmtId="0" fontId="7" fillId="3" borderId="19" xfId="0" applyFont="1" applyFill="1" applyBorder="1" applyAlignment="1">
      <alignment horizontal="left" vertical="center"/>
    </xf>
    <xf numFmtId="0" fontId="7" fillId="3" borderId="20" xfId="0" applyFont="1" applyFill="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11" fillId="16" borderId="8" xfId="0" applyFont="1" applyFill="1" applyBorder="1" applyAlignment="1">
      <alignment horizontal="center" vertical="center"/>
    </xf>
    <xf numFmtId="0" fontId="11" fillId="16" borderId="9" xfId="0" applyFont="1" applyFill="1" applyBorder="1" applyAlignment="1">
      <alignment horizontal="center" vertical="center"/>
    </xf>
    <xf numFmtId="0" fontId="11" fillId="16" borderId="10" xfId="0" applyFont="1" applyFill="1" applyBorder="1" applyAlignment="1">
      <alignment horizontal="center" vertical="center"/>
    </xf>
    <xf numFmtId="0" fontId="11" fillId="17" borderId="8" xfId="0" applyFont="1" applyFill="1" applyBorder="1" applyAlignment="1">
      <alignment horizontal="center" vertical="center"/>
    </xf>
    <xf numFmtId="0" fontId="11" fillId="17" borderId="9" xfId="0" applyFont="1" applyFill="1" applyBorder="1" applyAlignment="1">
      <alignment horizontal="center" vertical="center"/>
    </xf>
    <xf numFmtId="0" fontId="11" fillId="17" borderId="10"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3"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3" xfId="0" applyFont="1" applyFill="1" applyBorder="1" applyAlignment="1">
      <alignment horizontal="center" vertical="center"/>
    </xf>
    <xf numFmtId="0" fontId="11" fillId="14" borderId="8" xfId="0" applyFont="1" applyFill="1" applyBorder="1" applyAlignment="1">
      <alignment horizontal="center" vertical="center"/>
    </xf>
    <xf numFmtId="0" fontId="11" fillId="14" borderId="9" xfId="0" applyFont="1" applyFill="1" applyBorder="1" applyAlignment="1">
      <alignment horizontal="center" vertical="center"/>
    </xf>
    <xf numFmtId="0" fontId="11" fillId="14" borderId="10" xfId="0" applyFont="1" applyFill="1" applyBorder="1" applyAlignment="1">
      <alignment horizontal="center" vertical="center"/>
    </xf>
    <xf numFmtId="0" fontId="2" fillId="7" borderId="21" xfId="0" applyFont="1" applyFill="1" applyBorder="1" applyAlignment="1">
      <alignment horizontal="center" vertical="center"/>
    </xf>
    <xf numFmtId="0" fontId="2" fillId="7" borderId="23" xfId="0" applyFont="1" applyFill="1" applyBorder="1" applyAlignment="1">
      <alignment horizontal="center" vertical="center"/>
    </xf>
    <xf numFmtId="0" fontId="2" fillId="8" borderId="21" xfId="0" applyFont="1" applyFill="1" applyBorder="1" applyAlignment="1">
      <alignment horizontal="center" vertical="center"/>
    </xf>
    <xf numFmtId="0" fontId="2" fillId="8" borderId="23" xfId="0" applyFont="1" applyFill="1" applyBorder="1" applyAlignment="1">
      <alignment horizontal="center" vertical="center"/>
    </xf>
    <xf numFmtId="0" fontId="11" fillId="18" borderId="8" xfId="0" applyFont="1" applyFill="1" applyBorder="1" applyAlignment="1">
      <alignment horizontal="center" vertical="center"/>
    </xf>
    <xf numFmtId="0" fontId="11" fillId="18" borderId="9" xfId="0" applyFont="1" applyFill="1" applyBorder="1" applyAlignment="1">
      <alignment horizontal="center" vertical="center"/>
    </xf>
    <xf numFmtId="0" fontId="11" fillId="18" borderId="10" xfId="0" applyFont="1" applyFill="1"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2" fillId="20" borderId="6" xfId="0" applyFont="1" applyFill="1" applyBorder="1" applyAlignment="1">
      <alignment horizontal="center" vertical="center"/>
    </xf>
    <xf numFmtId="0" fontId="2" fillId="20" borderId="8" xfId="0" applyFont="1" applyFill="1" applyBorder="1" applyAlignment="1">
      <alignment horizontal="center" vertical="center"/>
    </xf>
    <xf numFmtId="0" fontId="2" fillId="13" borderId="21"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 fillId="13" borderId="23" xfId="0" applyFont="1" applyFill="1" applyBorder="1" applyAlignment="1">
      <alignment horizontal="center" vertical="center" wrapText="1"/>
    </xf>
    <xf numFmtId="0" fontId="2" fillId="8" borderId="3" xfId="0" applyFont="1" applyFill="1" applyBorder="1" applyAlignment="1">
      <alignment horizontal="center" vertical="center"/>
    </xf>
    <xf numFmtId="0" fontId="2" fillId="8" borderId="8" xfId="0" applyFont="1" applyFill="1" applyBorder="1" applyAlignment="1">
      <alignment horizontal="center" vertical="center"/>
    </xf>
    <xf numFmtId="0" fontId="11" fillId="16" borderId="7" xfId="0" applyFont="1" applyFill="1" applyBorder="1" applyAlignment="1">
      <alignment horizontal="center" vertical="center"/>
    </xf>
    <xf numFmtId="0" fontId="11" fillId="13" borderId="3" xfId="0" applyFont="1" applyFill="1" applyBorder="1" applyAlignment="1">
      <alignment horizontal="center" vertical="center" wrapText="1"/>
    </xf>
    <xf numFmtId="0" fontId="11" fillId="13" borderId="6" xfId="0" applyFont="1" applyFill="1" applyBorder="1" applyAlignment="1">
      <alignment horizontal="center" vertical="center" wrapText="1"/>
    </xf>
    <xf numFmtId="0" fontId="11" fillId="13" borderId="0" xfId="0" applyFont="1" applyFill="1" applyAlignment="1">
      <alignment horizontal="center" vertical="center" wrapText="1"/>
    </xf>
    <xf numFmtId="0" fontId="20" fillId="0" borderId="0" xfId="0" applyFont="1" applyAlignment="1">
      <alignment horizontal="left" vertical="center"/>
    </xf>
    <xf numFmtId="0" fontId="20" fillId="0" borderId="7" xfId="0" applyFont="1" applyBorder="1" applyAlignment="1">
      <alignment horizontal="left" vertical="center"/>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11" fillId="16" borderId="21" xfId="0" applyFont="1" applyFill="1" applyBorder="1" applyAlignment="1">
      <alignment horizontal="center" vertical="center" wrapText="1"/>
    </xf>
    <xf numFmtId="0" fontId="11" fillId="16" borderId="22" xfId="0" applyFont="1" applyFill="1" applyBorder="1" applyAlignment="1">
      <alignment horizontal="center" vertical="center" wrapText="1"/>
    </xf>
    <xf numFmtId="0" fontId="11" fillId="17" borderId="21" xfId="0" applyFont="1" applyFill="1" applyBorder="1" applyAlignment="1">
      <alignment horizontal="center" vertical="center" wrapText="1"/>
    </xf>
    <xf numFmtId="0" fontId="11" fillId="17" borderId="22" xfId="0" applyFont="1" applyFill="1" applyBorder="1" applyAlignment="1">
      <alignment horizontal="center" vertical="center" wrapText="1"/>
    </xf>
    <xf numFmtId="0" fontId="11" fillId="14" borderId="21" xfId="0" applyFont="1" applyFill="1" applyBorder="1" applyAlignment="1">
      <alignment horizontal="center" vertical="center" wrapText="1"/>
    </xf>
    <xf numFmtId="0" fontId="11" fillId="14" borderId="22"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6" xfId="0" applyFont="1" applyFill="1" applyBorder="1" applyAlignment="1">
      <alignment horizontal="center"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11" fillId="20" borderId="50" xfId="0" applyFont="1" applyFill="1" applyBorder="1" applyAlignment="1">
      <alignment horizontal="center" vertical="center"/>
    </xf>
    <xf numFmtId="0" fontId="11" fillId="20" borderId="51" xfId="0" applyFont="1" applyFill="1" applyBorder="1" applyAlignment="1">
      <alignment horizontal="center" vertical="center"/>
    </xf>
    <xf numFmtId="0" fontId="11" fillId="12" borderId="0" xfId="0" applyFont="1" applyFill="1" applyAlignment="1">
      <alignment horizontal="center" vertical="center"/>
    </xf>
    <xf numFmtId="0" fontId="0" fillId="0" borderId="46" xfId="0" applyBorder="1" applyAlignment="1">
      <alignment horizontal="center"/>
    </xf>
    <xf numFmtId="0" fontId="0" fillId="0" borderId="44" xfId="0" applyBorder="1" applyAlignment="1">
      <alignment horizontal="center"/>
    </xf>
    <xf numFmtId="0" fontId="0" fillId="0" borderId="55" xfId="0" applyBorder="1" applyAlignment="1">
      <alignment horizontal="center"/>
    </xf>
    <xf numFmtId="0" fontId="0" fillId="0" borderId="35" xfId="0" applyBorder="1" applyAlignment="1">
      <alignment horizontal="center"/>
    </xf>
    <xf numFmtId="0" fontId="0" fillId="0" borderId="42" xfId="0" applyBorder="1" applyAlignment="1">
      <alignment horizontal="center"/>
    </xf>
    <xf numFmtId="0" fontId="0" fillId="0" borderId="53" xfId="0" applyBorder="1" applyAlignment="1">
      <alignment horizontal="center"/>
    </xf>
    <xf numFmtId="0" fontId="11" fillId="20" borderId="48" xfId="0" applyFont="1" applyFill="1" applyBorder="1" applyAlignment="1">
      <alignment horizontal="center" vertical="center"/>
    </xf>
    <xf numFmtId="0" fontId="0" fillId="0" borderId="43" xfId="0" applyBorder="1" applyAlignment="1">
      <alignment horizontal="center"/>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0" xfId="0" applyFont="1" applyBorder="1" applyAlignment="1">
      <alignment horizontal="center" vertical="center"/>
    </xf>
    <xf numFmtId="0" fontId="11" fillId="0" borderId="45" xfId="0" applyFont="1" applyBorder="1" applyAlignment="1">
      <alignment horizontal="center" vertical="center"/>
    </xf>
    <xf numFmtId="0" fontId="11" fillId="0" borderId="0" xfId="0" applyFont="1" applyAlignment="1">
      <alignment horizontal="center" vertical="center"/>
    </xf>
    <xf numFmtId="0" fontId="0" fillId="12" borderId="43" xfId="0" applyFill="1" applyBorder="1" applyAlignment="1">
      <alignment horizontal="center"/>
    </xf>
    <xf numFmtId="0" fontId="0" fillId="12" borderId="35" xfId="0" applyFill="1" applyBorder="1" applyAlignment="1">
      <alignment horizontal="center"/>
    </xf>
    <xf numFmtId="0" fontId="0" fillId="12" borderId="42" xfId="0" applyFill="1" applyBorder="1" applyAlignment="1">
      <alignment horizontal="center"/>
    </xf>
    <xf numFmtId="0" fontId="0" fillId="12" borderId="39" xfId="0" applyFill="1" applyBorder="1" applyAlignment="1">
      <alignment horizontal="center"/>
    </xf>
    <xf numFmtId="0" fontId="7" fillId="0" borderId="20" xfId="0" applyFont="1" applyBorder="1" applyAlignment="1">
      <alignment horizontal="left" vertical="center"/>
    </xf>
    <xf numFmtId="0" fontId="20" fillId="12" borderId="0" xfId="0" applyFont="1" applyFill="1" applyAlignment="1">
      <alignment horizontal="left" vertical="center"/>
    </xf>
    <xf numFmtId="0" fontId="2" fillId="3" borderId="3"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4" xfId="0" applyFont="1" applyFill="1" applyBorder="1" applyAlignment="1">
      <alignment horizontal="left" vertical="center"/>
    </xf>
    <xf numFmtId="0" fontId="2" fillId="3" borderId="9" xfId="0" applyFont="1" applyFill="1" applyBorder="1" applyAlignment="1">
      <alignment horizontal="left" vertical="center"/>
    </xf>
    <xf numFmtId="0" fontId="2" fillId="9" borderId="21" xfId="0" applyFont="1" applyFill="1" applyBorder="1" applyAlignment="1">
      <alignment horizontal="center" vertical="center"/>
    </xf>
    <xf numFmtId="0" fontId="2" fillId="9" borderId="23" xfId="0" applyFont="1" applyFill="1" applyBorder="1" applyAlignment="1">
      <alignment horizontal="center" vertical="center"/>
    </xf>
    <xf numFmtId="0" fontId="2" fillId="12" borderId="50" xfId="0" applyFont="1" applyFill="1" applyBorder="1" applyAlignment="1">
      <alignment horizontal="center" vertical="center"/>
    </xf>
    <xf numFmtId="0" fontId="2" fillId="12" borderId="4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0" xfId="0" applyFont="1" applyFill="1" applyAlignment="1">
      <alignment horizontal="left" vertical="center"/>
    </xf>
    <xf numFmtId="0" fontId="2" fillId="9" borderId="22" xfId="0" applyFont="1" applyFill="1" applyBorder="1" applyAlignment="1">
      <alignment horizontal="center" vertical="center"/>
    </xf>
    <xf numFmtId="0" fontId="2" fillId="12" borderId="51" xfId="0" applyFont="1" applyFill="1" applyBorder="1" applyAlignment="1">
      <alignment horizontal="center" vertical="center"/>
    </xf>
    <xf numFmtId="0" fontId="2" fillId="0" borderId="0" xfId="0" applyFont="1" applyAlignment="1">
      <alignment horizontal="center" vertical="center" wrapText="1"/>
    </xf>
    <xf numFmtId="0" fontId="7" fillId="0" borderId="5" xfId="0" applyFont="1" applyBorder="1" applyAlignment="1">
      <alignment horizontal="left" vertical="center"/>
    </xf>
    <xf numFmtId="0" fontId="7" fillId="0" borderId="18" xfId="0" applyFont="1" applyBorder="1" applyAlignment="1">
      <alignment horizontal="left"/>
    </xf>
    <xf numFmtId="0" fontId="7" fillId="0" borderId="20" xfId="0" applyFont="1" applyBorder="1" applyAlignment="1">
      <alignment horizontal="left"/>
    </xf>
    <xf numFmtId="0" fontId="2" fillId="0" borderId="50" xfId="0" applyFont="1" applyBorder="1" applyAlignment="1">
      <alignment horizontal="center" vertical="center" wrapText="1"/>
    </xf>
    <xf numFmtId="0" fontId="2" fillId="0" borderId="41" xfId="0" applyFont="1" applyBorder="1" applyAlignment="1">
      <alignment horizontal="center" vertical="center" wrapText="1"/>
    </xf>
    <xf numFmtId="0" fontId="7" fillId="0" borderId="0" xfId="0" applyFont="1" applyAlignment="1">
      <alignment horizontal="left" vertical="center"/>
    </xf>
    <xf numFmtId="0" fontId="2" fillId="12" borderId="21" xfId="0" applyFont="1" applyFill="1" applyBorder="1" applyAlignment="1">
      <alignment horizontal="center" vertical="center"/>
    </xf>
    <xf numFmtId="0" fontId="2" fillId="12" borderId="22" xfId="0" applyFont="1" applyFill="1" applyBorder="1" applyAlignment="1">
      <alignment horizontal="center" vertical="center"/>
    </xf>
    <xf numFmtId="0" fontId="2" fillId="12" borderId="23" xfId="0" applyFont="1" applyFill="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12" borderId="0" xfId="0" applyFont="1" applyFill="1" applyAlignment="1">
      <alignment horizontal="center" vertical="center"/>
    </xf>
    <xf numFmtId="0" fontId="2" fillId="12" borderId="5" xfId="0" applyFont="1" applyFill="1" applyBorder="1" applyAlignment="1">
      <alignment horizontal="left" vertical="center"/>
    </xf>
    <xf numFmtId="0" fontId="2" fillId="12" borderId="7" xfId="0" applyFont="1" applyFill="1" applyBorder="1" applyAlignment="1">
      <alignment horizontal="left" vertical="center"/>
    </xf>
    <xf numFmtId="0" fontId="2" fillId="12" borderId="10" xfId="0" applyFont="1" applyFill="1" applyBorder="1" applyAlignment="1">
      <alignment horizontal="left" vertical="center"/>
    </xf>
    <xf numFmtId="0" fontId="2" fillId="12" borderId="3" xfId="0" applyFont="1" applyFill="1" applyBorder="1" applyAlignment="1">
      <alignment horizontal="left" vertical="center"/>
    </xf>
    <xf numFmtId="0" fontId="2" fillId="12" borderId="6" xfId="0" applyFont="1" applyFill="1" applyBorder="1" applyAlignment="1">
      <alignment horizontal="left" vertical="center"/>
    </xf>
    <xf numFmtId="0" fontId="2" fillId="12" borderId="8" xfId="0" applyFont="1" applyFill="1"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 fillId="16" borderId="22" xfId="0" applyFont="1" applyFill="1" applyBorder="1" applyAlignment="1">
      <alignment horizontal="center" vertical="center"/>
    </xf>
    <xf numFmtId="0" fontId="2" fillId="3" borderId="22" xfId="0" applyFont="1" applyFill="1" applyBorder="1" applyAlignment="1">
      <alignment horizontal="center" vertical="center"/>
    </xf>
    <xf numFmtId="0" fontId="2" fillId="16" borderId="2" xfId="0" applyFont="1" applyFill="1" applyBorder="1" applyAlignment="1">
      <alignment horizontal="center" vertical="center"/>
    </xf>
  </cellXfs>
  <cellStyles count="3">
    <cellStyle name="Hyperlink" xfId="1" builtinId="8"/>
    <cellStyle name="Hyperlink 2" xfId="2" xr:uid="{E22D6B76-36C5-4BA6-B8D2-54F2B4866B43}"/>
    <cellStyle name="Normal" xfId="0" builtinId="0"/>
  </cellStyles>
  <dxfs count="56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8" tint="0.7999816888943144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8" tint="0.79998168889431442"/>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0" tint="-0.14996795556505021"/>
        </patternFill>
      </fill>
    </dxf>
    <dxf>
      <fill>
        <patternFill>
          <bgColor theme="8" tint="0.79998168889431442"/>
        </patternFill>
      </fill>
    </dxf>
    <dxf>
      <font>
        <color rgb="FF9C0006"/>
      </font>
      <fill>
        <patternFill>
          <bgColor rgb="FFFFC7CE"/>
        </patternFill>
      </fill>
    </dxf>
    <dxf>
      <fill>
        <patternFill>
          <bgColor theme="0" tint="-0.14996795556505021"/>
        </patternFill>
      </fill>
    </dxf>
    <dxf>
      <fill>
        <patternFill>
          <bgColor theme="8" tint="0.79998168889431442"/>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ill>
        <patternFill>
          <bgColor theme="0" tint="-0.14996795556505021"/>
        </patternFill>
      </fill>
    </dxf>
    <dxf>
      <fill>
        <patternFill>
          <bgColor theme="0" tint="-0.14996795556505021"/>
        </patternFill>
      </fill>
    </dxf>
    <dxf>
      <fill>
        <patternFill>
          <bgColor theme="3" tint="0.89996032593768116"/>
        </patternFill>
      </fill>
    </dxf>
    <dxf>
      <fill>
        <patternFill>
          <bgColor theme="0" tint="-0.14996795556505021"/>
        </patternFill>
      </fill>
    </dxf>
    <dxf>
      <fill>
        <patternFill>
          <bgColor theme="3" tint="0.89996032593768116"/>
        </patternFill>
      </fill>
    </dxf>
    <dxf>
      <fill>
        <patternFill>
          <bgColor theme="0" tint="-0.14996795556505021"/>
        </patternFill>
      </fill>
    </dxf>
    <dxf>
      <fill>
        <patternFill>
          <bgColor theme="3" tint="0.89996032593768116"/>
        </patternFill>
      </fill>
    </dxf>
    <dxf>
      <fill>
        <patternFill>
          <bgColor theme="0" tint="-0.14996795556505021"/>
        </patternFill>
      </fill>
    </dxf>
    <dxf>
      <fill>
        <patternFill>
          <bgColor theme="3" tint="0.89996032593768116"/>
        </patternFill>
      </fill>
    </dxf>
    <dxf>
      <fill>
        <patternFill>
          <bgColor theme="0" tint="-0.14996795556505021"/>
        </patternFill>
      </fill>
    </dxf>
    <dxf>
      <fill>
        <patternFill>
          <bgColor theme="3" tint="0.89996032593768116"/>
        </patternFill>
      </fill>
    </dxf>
    <dxf>
      <fill>
        <patternFill>
          <bgColor theme="0" tint="-0.14996795556505021"/>
        </patternFill>
      </fill>
    </dxf>
    <dxf>
      <fill>
        <patternFill>
          <bgColor theme="3" tint="0.89996032593768116"/>
        </patternFill>
      </fill>
    </dxf>
    <dxf>
      <fill>
        <patternFill>
          <bgColor theme="0" tint="-0.14996795556505021"/>
        </patternFill>
      </fill>
    </dxf>
    <dxf>
      <fill>
        <patternFill>
          <bgColor theme="3" tint="0.89996032593768116"/>
        </patternFill>
      </fill>
    </dxf>
    <dxf>
      <fill>
        <patternFill>
          <bgColor theme="0" tint="-0.14996795556505021"/>
        </patternFill>
      </fill>
    </dxf>
    <dxf>
      <fill>
        <patternFill>
          <bgColor theme="3" tint="0.89996032593768116"/>
        </patternFill>
      </fill>
    </dxf>
    <dxf>
      <fill>
        <patternFill>
          <bgColor theme="4" tint="0.79998168889431442"/>
        </patternFill>
      </fill>
    </dxf>
    <dxf>
      <fill>
        <patternFill>
          <bgColor theme="0" tint="-0.14996795556505021"/>
        </patternFill>
      </fill>
    </dxf>
    <dxf>
      <fill>
        <patternFill>
          <bgColor theme="3" tint="0.89996032593768116"/>
        </patternFill>
      </fill>
    </dxf>
    <dxf>
      <fill>
        <patternFill>
          <bgColor theme="4" tint="0.79998168889431442"/>
        </patternFill>
      </fill>
    </dxf>
    <dxf>
      <fill>
        <patternFill>
          <bgColor theme="0" tint="-0.14996795556505021"/>
        </patternFill>
      </fill>
    </dxf>
    <dxf>
      <fill>
        <patternFill>
          <bgColor theme="3" tint="0.89996032593768116"/>
        </patternFill>
      </fill>
    </dxf>
    <dxf>
      <fill>
        <patternFill>
          <bgColor theme="4" tint="0.79998168889431442"/>
        </patternFill>
      </fill>
    </dxf>
    <dxf>
      <fill>
        <patternFill>
          <bgColor theme="3" tint="0.89996032593768116"/>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3" tint="0.89996032593768116"/>
        </patternFill>
      </fill>
    </dxf>
    <dxf>
      <fill>
        <patternFill>
          <bgColor theme="3" tint="0.89996032593768116"/>
        </patternFill>
      </fill>
    </dxf>
    <dxf>
      <fill>
        <patternFill>
          <bgColor theme="0" tint="-0.14996795556505021"/>
        </patternFill>
      </fill>
    </dxf>
    <dxf>
      <fill>
        <patternFill>
          <bgColor theme="4" tint="0.79998168889431442"/>
        </patternFill>
      </fill>
    </dxf>
    <dxf>
      <fill>
        <patternFill>
          <bgColor theme="3" tint="0.89996032593768116"/>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3" tint="0.89996032593768116"/>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3" tint="0.89996032593768116"/>
        </patternFill>
      </fill>
    </dxf>
    <dxf>
      <fill>
        <patternFill>
          <bgColor theme="0" tint="-0.14996795556505021"/>
        </patternFill>
      </fill>
    </dxf>
    <dxf>
      <fill>
        <patternFill>
          <bgColor theme="3" tint="0.89996032593768116"/>
        </patternFill>
      </fill>
    </dxf>
    <dxf>
      <font>
        <color rgb="FF9C0006"/>
      </font>
      <fill>
        <patternFill>
          <bgColor rgb="FFFFC7CE"/>
        </patternFill>
      </fill>
    </dxf>
    <dxf>
      <font>
        <color rgb="FF9C0006"/>
      </font>
      <fill>
        <patternFill>
          <bgColor rgb="FFFFC7CE"/>
        </patternFill>
      </fill>
    </dxf>
    <dxf>
      <fill>
        <patternFill>
          <bgColor theme="3" tint="0.89996032593768116"/>
        </patternFill>
      </fill>
    </dxf>
    <dxf>
      <font>
        <color rgb="FF9C0006"/>
      </font>
      <fill>
        <patternFill>
          <bgColor rgb="FFFFC7CE"/>
        </patternFill>
      </fill>
    </dxf>
    <dxf>
      <fill>
        <patternFill>
          <bgColor theme="2" tint="-9.9948118533890809E-2"/>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2" tint="-9.9948118533890809E-2"/>
        </patternFill>
      </fill>
    </dxf>
    <dxf>
      <fill>
        <patternFill>
          <bgColor theme="3" tint="0.89996032593768116"/>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ill>
        <patternFill>
          <bgColor theme="8" tint="0.79998168889431442"/>
        </patternFill>
      </fill>
    </dxf>
    <dxf>
      <fill>
        <patternFill>
          <bgColor theme="2" tint="-9.9948118533890809E-2"/>
        </patternFill>
      </fill>
    </dxf>
    <dxf>
      <font>
        <color rgb="FF9C0006"/>
      </font>
      <fill>
        <patternFill>
          <bgColor rgb="FFFFC7CE"/>
        </patternFill>
      </fill>
    </dxf>
    <dxf>
      <fill>
        <patternFill>
          <bgColor theme="3" tint="0.89996032593768116"/>
        </patternFill>
      </fill>
    </dxf>
    <dxf>
      <fill>
        <patternFill>
          <bgColor theme="3" tint="0.89996032593768116"/>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8" tint="0.79998168889431442"/>
        </patternFill>
      </fill>
    </dxf>
    <dxf>
      <fill>
        <patternFill>
          <bgColor theme="2" tint="-9.9948118533890809E-2"/>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3" tint="0.89996032593768116"/>
        </patternFill>
      </fill>
    </dxf>
    <dxf>
      <fill>
        <patternFill>
          <bgColor theme="2" tint="-9.9948118533890809E-2"/>
        </patternFill>
      </fill>
    </dxf>
    <dxf>
      <fill>
        <patternFill>
          <bgColor theme="8" tint="0.79998168889431442"/>
        </patternFill>
      </fill>
    </dxf>
    <dxf>
      <fill>
        <patternFill>
          <bgColor theme="3" tint="0.89996032593768116"/>
        </patternFill>
      </fill>
    </dxf>
    <dxf>
      <fill>
        <patternFill>
          <bgColor theme="8" tint="0.79998168889431442"/>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ont>
        <color rgb="FF9C0006"/>
      </font>
      <fill>
        <patternFill>
          <bgColor rgb="FFFFC7CE"/>
        </patternFill>
      </fill>
    </dxf>
    <dxf>
      <fill>
        <patternFill>
          <bgColor theme="2" tint="-9.9948118533890809E-2"/>
        </patternFill>
      </fill>
    </dxf>
    <dxf>
      <fill>
        <patternFill>
          <bgColor theme="3" tint="0.89996032593768116"/>
        </patternFill>
      </fill>
    </dxf>
    <dxf>
      <fill>
        <patternFill>
          <bgColor theme="8" tint="0.79998168889431442"/>
        </patternFill>
      </fill>
    </dxf>
    <dxf>
      <font>
        <color rgb="FF9C0006"/>
      </font>
      <fill>
        <patternFill>
          <bgColor rgb="FFFFC7CE"/>
        </patternFill>
      </fill>
    </dxf>
    <dxf>
      <fill>
        <patternFill>
          <bgColor theme="8" tint="0.79998168889431442"/>
        </patternFill>
      </fill>
    </dxf>
    <dxf>
      <fill>
        <patternFill>
          <bgColor theme="2" tint="-9.9948118533890809E-2"/>
        </patternFill>
      </fill>
    </dxf>
    <dxf>
      <fill>
        <patternFill>
          <bgColor theme="3" tint="0.89996032593768116"/>
        </patternFill>
      </fill>
    </dxf>
    <dxf>
      <fill>
        <patternFill>
          <bgColor theme="5" tint="0.79998168889431442"/>
        </patternFill>
      </fill>
    </dxf>
    <dxf>
      <fill>
        <patternFill>
          <bgColor theme="2" tint="-9.9948118533890809E-2"/>
        </patternFill>
      </fill>
    </dxf>
    <dxf>
      <fill>
        <patternFill>
          <bgColor theme="9" tint="0.79998168889431442"/>
        </patternFill>
      </fill>
    </dxf>
    <dxf>
      <fill>
        <patternFill>
          <bgColor theme="2" tint="-9.9948118533890809E-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2" tint="-9.9948118533890809E-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8" tint="0.79998168889431442"/>
        </patternFill>
      </fill>
    </dxf>
    <dxf>
      <fill>
        <patternFill>
          <bgColor theme="2" tint="-9.9948118533890809E-2"/>
        </patternFill>
      </fill>
    </dxf>
    <dxf>
      <fill>
        <patternFill>
          <bgColor theme="3" tint="0.89996032593768116"/>
        </patternFill>
      </fill>
    </dxf>
    <dxf>
      <fill>
        <patternFill>
          <bgColor theme="8" tint="0.79998168889431442"/>
        </patternFill>
      </fill>
    </dxf>
    <dxf>
      <fill>
        <patternFill>
          <bgColor theme="3" tint="0.89996032593768116"/>
        </patternFill>
      </fill>
    </dxf>
    <dxf>
      <fill>
        <patternFill>
          <bgColor theme="0" tint="-0.14996795556505021"/>
        </patternFill>
      </fill>
    </dxf>
    <dxf>
      <font>
        <color rgb="FF9C0006"/>
      </font>
      <fill>
        <patternFill>
          <bgColor rgb="FFFFC7CE"/>
        </patternFill>
      </fill>
    </dxf>
    <dxf>
      <fill>
        <patternFill>
          <bgColor theme="9" tint="0.79998168889431442"/>
        </patternFill>
      </fill>
    </dxf>
    <dxf>
      <fill>
        <patternFill>
          <bgColor theme="2" tint="-9.9948118533890809E-2"/>
        </patternFill>
      </fill>
    </dxf>
    <dxf>
      <fill>
        <patternFill>
          <bgColor theme="5" tint="0.79998168889431442"/>
        </patternFill>
      </fill>
    </dxf>
    <dxf>
      <fill>
        <patternFill>
          <bgColor theme="9" tint="0.79998168889431442"/>
        </patternFill>
      </fill>
    </dxf>
    <dxf>
      <fill>
        <patternFill>
          <bgColor theme="2" tint="-9.9948118533890809E-2"/>
        </patternFill>
      </fill>
    </dxf>
    <dxf>
      <fill>
        <patternFill>
          <bgColor theme="5" tint="0.79998168889431442"/>
        </patternFill>
      </fill>
    </dxf>
    <dxf>
      <fill>
        <patternFill>
          <bgColor theme="9" tint="0.79998168889431442"/>
        </patternFill>
      </fill>
    </dxf>
    <dxf>
      <fill>
        <patternFill>
          <bgColor theme="2" tint="-9.9948118533890809E-2"/>
        </patternFill>
      </fill>
    </dxf>
    <dxf>
      <fill>
        <patternFill>
          <bgColor theme="5" tint="0.79998168889431442"/>
        </patternFill>
      </fill>
    </dxf>
    <dxf>
      <fill>
        <patternFill>
          <bgColor theme="9" tint="0.79998168889431442"/>
        </patternFill>
      </fill>
    </dxf>
    <dxf>
      <fill>
        <patternFill>
          <bgColor theme="2" tint="-9.9948118533890809E-2"/>
        </patternFill>
      </fill>
    </dxf>
    <dxf>
      <fill>
        <patternFill>
          <bgColor theme="5" tint="0.79998168889431442"/>
        </patternFill>
      </fill>
    </dxf>
    <dxf>
      <fill>
        <patternFill>
          <bgColor theme="9" tint="0.79998168889431442"/>
        </patternFill>
      </fill>
    </dxf>
    <dxf>
      <fill>
        <patternFill>
          <bgColor theme="2" tint="-9.9948118533890809E-2"/>
        </patternFill>
      </fill>
    </dxf>
    <dxf>
      <fill>
        <patternFill>
          <bgColor theme="5"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8428A"/>
      <color rgb="FFFFFF99"/>
      <color rgb="FFCC99FF"/>
      <color rgb="FFFFCC66"/>
      <color rgb="FFB8EC84"/>
      <color rgb="FFBAE18F"/>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US" sz="1600" b="1">
                <a:solidFill>
                  <a:schemeClr val="tx1"/>
                </a:solidFill>
                <a:latin typeface="Arial" panose="020B0604020202020204" pitchFamily="34" charset="0"/>
                <a:cs typeface="Arial" panose="020B0604020202020204" pitchFamily="34" charset="0"/>
              </a:rPr>
              <a:t>OpenRemote </a:t>
            </a:r>
            <a:r>
              <a:rPr lang="en-US" sz="1600" b="1" i="0" u="none" strike="noStrike" kern="1200" spc="0" baseline="0">
                <a:solidFill>
                  <a:schemeClr val="tx1"/>
                </a:solidFill>
                <a:latin typeface="Arial" panose="020B0604020202020204" pitchFamily="34" charset="0"/>
                <a:cs typeface="Arial" panose="020B0604020202020204" pitchFamily="34" charset="0"/>
              </a:rPr>
              <a:t>– </a:t>
            </a:r>
            <a:r>
              <a:rPr lang="en-US" sz="1600" b="1">
                <a:solidFill>
                  <a:schemeClr val="tx1"/>
                </a:solidFill>
                <a:latin typeface="Arial" panose="020B0604020202020204" pitchFamily="34" charset="0"/>
                <a:cs typeface="Arial" panose="020B0604020202020204" pitchFamily="34" charset="0"/>
              </a:rPr>
              <a:t> CEMS </a:t>
            </a:r>
          </a:p>
        </c:rich>
      </c:tx>
      <c:layout>
        <c:manualLayout>
          <c:xMode val="edge"/>
          <c:yMode val="edge"/>
          <c:x val="0.34592794255292847"/>
          <c:y val="5.124644719777035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3417985510523435"/>
          <c:y val="0.24967951132825686"/>
          <c:w val="0.33657005863141726"/>
          <c:h val="0.67165566448720571"/>
        </c:manualLayout>
      </c:layout>
      <c:radarChart>
        <c:radarStyle val="marker"/>
        <c:varyColors val="0"/>
        <c:ser>
          <c:idx val="0"/>
          <c:order val="0"/>
          <c:tx>
            <c:strRef>
              <c:f>FunctionalityMapping!$B$34:$C$34</c:f>
              <c:strCache>
                <c:ptCount val="2"/>
                <c:pt idx="0">
                  <c:v>OpenRemote</c:v>
                </c:pt>
                <c:pt idx="1">
                  <c:v>Community Energy Management Systems (CEMS)</c:v>
                </c:pt>
              </c:strCache>
            </c:strRef>
          </c:tx>
          <c:spPr>
            <a:ln w="28575" cap="rnd">
              <a:solidFill>
                <a:schemeClr val="accent1"/>
              </a:solidFill>
              <a:round/>
            </a:ln>
            <a:effectLst/>
          </c:spPr>
          <c:marker>
            <c:symbol val="none"/>
          </c:marker>
          <c:cat>
            <c:strRef>
              <c:f>FunctionalityMapping!$E$4:$P$4</c:f>
              <c:strCache>
                <c:ptCount val="12"/>
                <c:pt idx="0">
                  <c:v>Community Energy Management Systems (CEMS)</c:v>
                </c:pt>
                <c:pt idx="1">
                  <c:v>Home Energy Management Systems (HEMS)</c:v>
                </c:pt>
                <c:pt idx="2">
                  <c:v>Demand Response Systems</c:v>
                </c:pt>
                <c:pt idx="3">
                  <c:v>Community level Modelling</c:v>
                </c:pt>
                <c:pt idx="4">
                  <c:v>AI-powered Forecasting</c:v>
                </c:pt>
                <c:pt idx="5">
                  <c:v>Machine learning algorithms</c:v>
                </c:pt>
                <c:pt idx="6">
                  <c:v>AI-Driven Energy Optimization</c:v>
                </c:pt>
                <c:pt idx="7">
                  <c:v>Anomaly Detection in Energy systems</c:v>
                </c:pt>
                <c:pt idx="8">
                  <c:v>Energy Dashboards</c:v>
                </c:pt>
                <c:pt idx="9">
                  <c:v>Data visualization</c:v>
                </c:pt>
                <c:pt idx="10">
                  <c:v>Energy sharing application</c:v>
                </c:pt>
                <c:pt idx="11">
                  <c:v>Automated Billing Platforms</c:v>
                </c:pt>
              </c:strCache>
            </c:strRef>
          </c:cat>
          <c:val>
            <c:numRef>
              <c:f>FunctionalityMapping!$D$34:$P$34</c:f>
              <c:numCache>
                <c:formatCode>General</c:formatCode>
                <c:ptCount val="12"/>
                <c:pt idx="0">
                  <c:v>3</c:v>
                </c:pt>
                <c:pt idx="1">
                  <c:v>2</c:v>
                </c:pt>
                <c:pt idx="2">
                  <c:v>1</c:v>
                </c:pt>
                <c:pt idx="3">
                  <c:v>1</c:v>
                </c:pt>
                <c:pt idx="4">
                  <c:v>1</c:v>
                </c:pt>
                <c:pt idx="5">
                  <c:v>1</c:v>
                </c:pt>
                <c:pt idx="6">
                  <c:v>2</c:v>
                </c:pt>
                <c:pt idx="7">
                  <c:v>2</c:v>
                </c:pt>
                <c:pt idx="8">
                  <c:v>3</c:v>
                </c:pt>
                <c:pt idx="9">
                  <c:v>3</c:v>
                </c:pt>
                <c:pt idx="10">
                  <c:v>2</c:v>
                </c:pt>
                <c:pt idx="11">
                  <c:v>1</c:v>
                </c:pt>
              </c:numCache>
            </c:numRef>
          </c:val>
          <c:extLst>
            <c:ext xmlns:c16="http://schemas.microsoft.com/office/drawing/2014/chart" uri="{C3380CC4-5D6E-409C-BE32-E72D297353CC}">
              <c16:uniqueId val="{00000000-C395-447A-B94A-A42C15D5C928}"/>
            </c:ext>
          </c:extLst>
        </c:ser>
        <c:dLbls>
          <c:showLegendKey val="0"/>
          <c:showVal val="0"/>
          <c:showCatName val="0"/>
          <c:showSerName val="0"/>
          <c:showPercent val="0"/>
          <c:showBubbleSize val="0"/>
        </c:dLbls>
        <c:axId val="237276431"/>
        <c:axId val="554260111"/>
      </c:radarChart>
      <c:catAx>
        <c:axId val="2372764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54260111"/>
        <c:crosses val="autoZero"/>
        <c:auto val="1"/>
        <c:lblAlgn val="ctr"/>
        <c:lblOffset val="100"/>
        <c:noMultiLvlLbl val="0"/>
      </c:catAx>
      <c:valAx>
        <c:axId val="5542601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37276431"/>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lumMod val="50000"/>
          <a:lumOff val="50000"/>
        </a:sys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solidFill>
                  <a:schemeClr val="tx1"/>
                </a:solidFill>
                <a:latin typeface="Arial" panose="020B0604020202020204" pitchFamily="34" charset="0"/>
                <a:cs typeface="Arial" panose="020B0604020202020204" pitchFamily="34" charset="0"/>
              </a:rPr>
              <a:t>Volttron – CEMS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440622491932786"/>
          <c:y val="0.24925910043770602"/>
          <c:w val="0.34716838866582694"/>
          <c:h val="0.67552855131681022"/>
        </c:manualLayout>
      </c:layout>
      <c:radarChart>
        <c:radarStyle val="marker"/>
        <c:varyColors val="0"/>
        <c:ser>
          <c:idx val="0"/>
          <c:order val="0"/>
          <c:tx>
            <c:strRef>
              <c:f>FunctionalityMapping!$B$5:$C$5</c:f>
              <c:strCache>
                <c:ptCount val="2"/>
                <c:pt idx="0">
                  <c:v>Volttron</c:v>
                </c:pt>
                <c:pt idx="1">
                  <c:v>Community Energy Management Systems (CEMS)</c:v>
                </c:pt>
              </c:strCache>
            </c:strRef>
          </c:tx>
          <c:spPr>
            <a:ln w="28575" cap="rnd">
              <a:solidFill>
                <a:schemeClr val="accent1"/>
              </a:solidFill>
              <a:round/>
            </a:ln>
            <a:effectLst/>
          </c:spPr>
          <c:marker>
            <c:symbol val="none"/>
          </c:marker>
          <c:cat>
            <c:strRef>
              <c:f>FunctionalityMapping!$E$4:$P$4</c:f>
              <c:strCache>
                <c:ptCount val="12"/>
                <c:pt idx="0">
                  <c:v>Community Energy Management Systems (CEMS)</c:v>
                </c:pt>
                <c:pt idx="1">
                  <c:v>Home Energy Management Systems (HEMS)</c:v>
                </c:pt>
                <c:pt idx="2">
                  <c:v>Demand Response Systems</c:v>
                </c:pt>
                <c:pt idx="3">
                  <c:v>Community level Modelling</c:v>
                </c:pt>
                <c:pt idx="4">
                  <c:v>AI-powered Forecasting</c:v>
                </c:pt>
                <c:pt idx="5">
                  <c:v>Machine learning algorithms</c:v>
                </c:pt>
                <c:pt idx="6">
                  <c:v>AI-Driven Energy Optimization</c:v>
                </c:pt>
                <c:pt idx="7">
                  <c:v>Anomaly Detection in Energy systems</c:v>
                </c:pt>
                <c:pt idx="8">
                  <c:v>Energy Dashboards</c:v>
                </c:pt>
                <c:pt idx="9">
                  <c:v>Data visualization</c:v>
                </c:pt>
                <c:pt idx="10">
                  <c:v>Energy sharing application</c:v>
                </c:pt>
                <c:pt idx="11">
                  <c:v>Automated Billing Platforms</c:v>
                </c:pt>
              </c:strCache>
            </c:strRef>
          </c:cat>
          <c:val>
            <c:numRef>
              <c:f>FunctionalityMapping!$D$5:$P$5</c:f>
              <c:numCache>
                <c:formatCode>General</c:formatCode>
                <c:ptCount val="12"/>
                <c:pt idx="0">
                  <c:v>3</c:v>
                </c:pt>
                <c:pt idx="1">
                  <c:v>2</c:v>
                </c:pt>
                <c:pt idx="2">
                  <c:v>3</c:v>
                </c:pt>
                <c:pt idx="3">
                  <c:v>2</c:v>
                </c:pt>
                <c:pt idx="4">
                  <c:v>1</c:v>
                </c:pt>
                <c:pt idx="5">
                  <c:v>2</c:v>
                </c:pt>
                <c:pt idx="6">
                  <c:v>2</c:v>
                </c:pt>
                <c:pt idx="7">
                  <c:v>2</c:v>
                </c:pt>
                <c:pt idx="8">
                  <c:v>1</c:v>
                </c:pt>
                <c:pt idx="9">
                  <c:v>1</c:v>
                </c:pt>
                <c:pt idx="10">
                  <c:v>2</c:v>
                </c:pt>
                <c:pt idx="11">
                  <c:v>1</c:v>
                </c:pt>
              </c:numCache>
            </c:numRef>
          </c:val>
          <c:extLst>
            <c:ext xmlns:c16="http://schemas.microsoft.com/office/drawing/2014/chart" uri="{C3380CC4-5D6E-409C-BE32-E72D297353CC}">
              <c16:uniqueId val="{00000000-FBDB-478D-8F67-31AAAF7117EC}"/>
            </c:ext>
          </c:extLst>
        </c:ser>
        <c:dLbls>
          <c:showLegendKey val="0"/>
          <c:showVal val="0"/>
          <c:showCatName val="0"/>
          <c:showSerName val="0"/>
          <c:showPercent val="0"/>
          <c:showBubbleSize val="0"/>
        </c:dLbls>
        <c:axId val="912293999"/>
        <c:axId val="912309839"/>
      </c:radarChart>
      <c:catAx>
        <c:axId val="912293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912309839"/>
        <c:crosses val="autoZero"/>
        <c:auto val="1"/>
        <c:lblAlgn val="ctr"/>
        <c:lblOffset val="100"/>
        <c:noMultiLvlLbl val="0"/>
      </c:catAx>
      <c:valAx>
        <c:axId val="9123098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mn-lt"/>
                <a:ea typeface="+mn-ea"/>
                <a:cs typeface="+mn-cs"/>
              </a:defRPr>
            </a:pPr>
            <a:endParaRPr lang="en-US"/>
          </a:p>
        </c:txPr>
        <c:crossAx val="912293999"/>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lumMod val="50000"/>
          <a:lumOff val="50000"/>
        </a:sys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600" b="1">
                <a:solidFill>
                  <a:schemeClr val="tx1"/>
                </a:solidFill>
                <a:latin typeface="Arial" panose="020B0604020202020204" pitchFamily="34" charset="0"/>
                <a:cs typeface="Arial" panose="020B0604020202020204" pitchFamily="34" charset="0"/>
              </a:rPr>
              <a:t>ThingsBoard </a:t>
            </a:r>
            <a:r>
              <a:rPr lang="en-US" sz="1600" b="1" i="0" u="none" strike="noStrike" kern="1200" spc="0" baseline="0">
                <a:solidFill>
                  <a:schemeClr val="tx1"/>
                </a:solidFill>
                <a:latin typeface="Arial" panose="020B0604020202020204" pitchFamily="34" charset="0"/>
                <a:cs typeface="Arial" panose="020B0604020202020204" pitchFamily="34" charset="0"/>
              </a:rPr>
              <a:t> –  </a:t>
            </a:r>
            <a:r>
              <a:rPr lang="en-US" sz="1600" b="1" baseline="0">
                <a:solidFill>
                  <a:schemeClr val="tx1"/>
                </a:solidFill>
                <a:latin typeface="Arial" panose="020B0604020202020204" pitchFamily="34" charset="0"/>
                <a:cs typeface="Arial" panose="020B0604020202020204" pitchFamily="34" charset="0"/>
              </a:rPr>
              <a:t> Energy Dashboards</a:t>
            </a:r>
            <a:endParaRPr lang="en-US" sz="1600" b="1">
              <a:solidFill>
                <a:schemeClr val="tx1"/>
              </a:solidFill>
              <a:latin typeface="Arial" panose="020B0604020202020204" pitchFamily="34" charset="0"/>
              <a:cs typeface="Arial" panose="020B0604020202020204" pitchFamily="34" charset="0"/>
            </a:endParaRPr>
          </a:p>
        </c:rich>
      </c:tx>
      <c:layout>
        <c:manualLayout>
          <c:xMode val="edge"/>
          <c:yMode val="edge"/>
          <c:x val="0.27293482364705068"/>
          <c:y val="4.461491763017743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4318803935634423"/>
          <c:y val="0.22966596869288225"/>
          <c:w val="0.3353515628782624"/>
          <c:h val="0.70584369867523988"/>
        </c:manualLayout>
      </c:layout>
      <c:radarChart>
        <c:radarStyle val="marker"/>
        <c:varyColors val="0"/>
        <c:ser>
          <c:idx val="0"/>
          <c:order val="0"/>
          <c:tx>
            <c:strRef>
              <c:f>FunctionalityMapping!$B$21:$C$21</c:f>
              <c:strCache>
                <c:ptCount val="2"/>
                <c:pt idx="0">
                  <c:v>ThingsBoard</c:v>
                </c:pt>
                <c:pt idx="1">
                  <c:v>Energy Dashboards</c:v>
                </c:pt>
              </c:strCache>
            </c:strRef>
          </c:tx>
          <c:spPr>
            <a:ln w="28575" cap="rnd">
              <a:solidFill>
                <a:schemeClr val="accent1"/>
              </a:solidFill>
              <a:round/>
            </a:ln>
            <a:effectLst/>
          </c:spPr>
          <c:marker>
            <c:symbol val="none"/>
          </c:marker>
          <c:cat>
            <c:strRef>
              <c:f>FunctionalityMapping!$E$4:$P$4</c:f>
              <c:strCache>
                <c:ptCount val="12"/>
                <c:pt idx="0">
                  <c:v>Community Energy Management Systems (CEMS)</c:v>
                </c:pt>
                <c:pt idx="1">
                  <c:v>Home Energy Management Systems (HEMS)</c:v>
                </c:pt>
                <c:pt idx="2">
                  <c:v>Demand Response Systems</c:v>
                </c:pt>
                <c:pt idx="3">
                  <c:v>Community level Modelling</c:v>
                </c:pt>
                <c:pt idx="4">
                  <c:v>AI-powered Forecasting</c:v>
                </c:pt>
                <c:pt idx="5">
                  <c:v>Machine learning algorithms</c:v>
                </c:pt>
                <c:pt idx="6">
                  <c:v>AI-Driven Energy Optimization</c:v>
                </c:pt>
                <c:pt idx="7">
                  <c:v>Anomaly Detection in Energy systems</c:v>
                </c:pt>
                <c:pt idx="8">
                  <c:v>Energy Dashboards</c:v>
                </c:pt>
                <c:pt idx="9">
                  <c:v>Data visualization</c:v>
                </c:pt>
                <c:pt idx="10">
                  <c:v>Energy sharing application</c:v>
                </c:pt>
                <c:pt idx="11">
                  <c:v>Automated Billing Platforms</c:v>
                </c:pt>
              </c:strCache>
            </c:strRef>
          </c:cat>
          <c:val>
            <c:numRef>
              <c:f>FunctionalityMapping!$D$21:$P$21</c:f>
              <c:numCache>
                <c:formatCode>General</c:formatCode>
                <c:ptCount val="12"/>
                <c:pt idx="0">
                  <c:v>2</c:v>
                </c:pt>
                <c:pt idx="1">
                  <c:v>2</c:v>
                </c:pt>
                <c:pt idx="2">
                  <c:v>2</c:v>
                </c:pt>
                <c:pt idx="3">
                  <c:v>1</c:v>
                </c:pt>
                <c:pt idx="4">
                  <c:v>2</c:v>
                </c:pt>
                <c:pt idx="5">
                  <c:v>2</c:v>
                </c:pt>
                <c:pt idx="6">
                  <c:v>1</c:v>
                </c:pt>
                <c:pt idx="7">
                  <c:v>2</c:v>
                </c:pt>
                <c:pt idx="8">
                  <c:v>3</c:v>
                </c:pt>
                <c:pt idx="9">
                  <c:v>3</c:v>
                </c:pt>
                <c:pt idx="10">
                  <c:v>1</c:v>
                </c:pt>
                <c:pt idx="11">
                  <c:v>1</c:v>
                </c:pt>
              </c:numCache>
            </c:numRef>
          </c:val>
          <c:extLst>
            <c:ext xmlns:c16="http://schemas.microsoft.com/office/drawing/2014/chart" uri="{C3380CC4-5D6E-409C-BE32-E72D297353CC}">
              <c16:uniqueId val="{00000000-D84A-4573-96A1-F51FBEA161AF}"/>
            </c:ext>
          </c:extLst>
        </c:ser>
        <c:dLbls>
          <c:showLegendKey val="0"/>
          <c:showVal val="0"/>
          <c:showCatName val="0"/>
          <c:showSerName val="0"/>
          <c:showPercent val="0"/>
          <c:showBubbleSize val="0"/>
        </c:dLbls>
        <c:axId val="887328575"/>
        <c:axId val="887322815"/>
      </c:radarChart>
      <c:catAx>
        <c:axId val="887328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87322815"/>
        <c:crosses val="autoZero"/>
        <c:auto val="1"/>
        <c:lblAlgn val="ctr"/>
        <c:lblOffset val="100"/>
        <c:noMultiLvlLbl val="0"/>
      </c:catAx>
      <c:valAx>
        <c:axId val="8873228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87328575"/>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lumMod val="50000"/>
          <a:lumOff val="50000"/>
        </a:sys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600" b="1">
                <a:solidFill>
                  <a:schemeClr val="tx1"/>
                </a:solidFill>
                <a:latin typeface="Arial" panose="020B0604020202020204" pitchFamily="34" charset="0"/>
                <a:cs typeface="Arial" panose="020B0604020202020204" pitchFamily="34" charset="0"/>
              </a:rPr>
              <a:t>OpenEMS </a:t>
            </a:r>
            <a:r>
              <a:rPr lang="en-US" sz="1600" b="1" i="0" u="none" strike="noStrike" kern="1200" spc="0" baseline="0">
                <a:solidFill>
                  <a:schemeClr val="tx1"/>
                </a:solidFill>
                <a:latin typeface="Arial" panose="020B0604020202020204" pitchFamily="34" charset="0"/>
                <a:cs typeface="Arial" panose="020B0604020202020204" pitchFamily="34" charset="0"/>
              </a:rPr>
              <a:t>– </a:t>
            </a:r>
            <a:r>
              <a:rPr lang="en-US" sz="1600" b="1">
                <a:solidFill>
                  <a:schemeClr val="tx1"/>
                </a:solidFill>
                <a:latin typeface="Arial" panose="020B0604020202020204" pitchFamily="34" charset="0"/>
                <a:cs typeface="Arial" panose="020B0604020202020204" pitchFamily="34" charset="0"/>
              </a:rPr>
              <a:t> Dynamic Pricing Platform</a:t>
            </a:r>
          </a:p>
        </c:rich>
      </c:tx>
      <c:layout>
        <c:manualLayout>
          <c:xMode val="edge"/>
          <c:yMode val="edge"/>
          <c:x val="0.25318507286711478"/>
          <c:y val="3.41013842208330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84876112860603"/>
          <c:y val="0.22685202493881509"/>
          <c:w val="0.33287387355500736"/>
          <c:h val="0.69830982976986744"/>
        </c:manualLayout>
      </c:layout>
      <c:radarChart>
        <c:radarStyle val="marker"/>
        <c:varyColors val="0"/>
        <c:ser>
          <c:idx val="0"/>
          <c:order val="0"/>
          <c:tx>
            <c:strRef>
              <c:f>FunctionalityMapping!$B$29:$C$29</c:f>
              <c:strCache>
                <c:ptCount val="2"/>
                <c:pt idx="0">
                  <c:v>OpenEMS</c:v>
                </c:pt>
                <c:pt idx="1">
                  <c:v>Dynamic Pricing Platform</c:v>
                </c:pt>
              </c:strCache>
            </c:strRef>
          </c:tx>
          <c:spPr>
            <a:ln w="28575" cap="rnd">
              <a:solidFill>
                <a:schemeClr val="accent1"/>
              </a:solidFill>
              <a:round/>
            </a:ln>
            <a:effectLst/>
          </c:spPr>
          <c:marker>
            <c:symbol val="none"/>
          </c:marker>
          <c:cat>
            <c:strRef>
              <c:f>FunctionalityMapping!$E$4:$P$4</c:f>
              <c:strCache>
                <c:ptCount val="12"/>
                <c:pt idx="0">
                  <c:v>Community Energy Management Systems (CEMS)</c:v>
                </c:pt>
                <c:pt idx="1">
                  <c:v>Home Energy Management Systems (HEMS)</c:v>
                </c:pt>
                <c:pt idx="2">
                  <c:v>Demand Response Systems</c:v>
                </c:pt>
                <c:pt idx="3">
                  <c:v>Community level Modelling</c:v>
                </c:pt>
                <c:pt idx="4">
                  <c:v>AI-powered Forecasting</c:v>
                </c:pt>
                <c:pt idx="5">
                  <c:v>Machine learning algorithms</c:v>
                </c:pt>
                <c:pt idx="6">
                  <c:v>AI-Driven Energy Optimization</c:v>
                </c:pt>
                <c:pt idx="7">
                  <c:v>Anomaly Detection in Energy systems</c:v>
                </c:pt>
                <c:pt idx="8">
                  <c:v>Energy Dashboards</c:v>
                </c:pt>
                <c:pt idx="9">
                  <c:v>Data visualization</c:v>
                </c:pt>
                <c:pt idx="10">
                  <c:v>Energy sharing application</c:v>
                </c:pt>
                <c:pt idx="11">
                  <c:v>Automated Billing Platforms</c:v>
                </c:pt>
              </c:strCache>
            </c:strRef>
          </c:cat>
          <c:val>
            <c:numRef>
              <c:f>FunctionalityMapping!$D$29:$P$29</c:f>
              <c:numCache>
                <c:formatCode>General</c:formatCode>
                <c:ptCount val="12"/>
                <c:pt idx="0">
                  <c:v>3</c:v>
                </c:pt>
                <c:pt idx="1">
                  <c:v>2</c:v>
                </c:pt>
                <c:pt idx="2">
                  <c:v>2</c:v>
                </c:pt>
                <c:pt idx="3">
                  <c:v>1</c:v>
                </c:pt>
                <c:pt idx="4">
                  <c:v>1</c:v>
                </c:pt>
                <c:pt idx="5">
                  <c:v>1</c:v>
                </c:pt>
                <c:pt idx="6">
                  <c:v>2</c:v>
                </c:pt>
                <c:pt idx="7">
                  <c:v>2</c:v>
                </c:pt>
                <c:pt idx="8">
                  <c:v>2</c:v>
                </c:pt>
                <c:pt idx="9">
                  <c:v>3</c:v>
                </c:pt>
                <c:pt idx="10">
                  <c:v>2</c:v>
                </c:pt>
                <c:pt idx="11">
                  <c:v>1</c:v>
                </c:pt>
              </c:numCache>
            </c:numRef>
          </c:val>
          <c:extLst>
            <c:ext xmlns:c16="http://schemas.microsoft.com/office/drawing/2014/chart" uri="{C3380CC4-5D6E-409C-BE32-E72D297353CC}">
              <c16:uniqueId val="{00000000-3721-48BF-BEB7-E44B6BA89427}"/>
            </c:ext>
          </c:extLst>
        </c:ser>
        <c:dLbls>
          <c:showLegendKey val="0"/>
          <c:showVal val="0"/>
          <c:showCatName val="0"/>
          <c:showSerName val="0"/>
          <c:showPercent val="0"/>
          <c:showBubbleSize val="0"/>
        </c:dLbls>
        <c:axId val="566696895"/>
        <c:axId val="566697375"/>
      </c:radarChart>
      <c:catAx>
        <c:axId val="566696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6697375"/>
        <c:crosses val="autoZero"/>
        <c:auto val="1"/>
        <c:lblAlgn val="ctr"/>
        <c:lblOffset val="100"/>
        <c:noMultiLvlLbl val="0"/>
      </c:catAx>
      <c:valAx>
        <c:axId val="5666973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66696895"/>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lumMod val="50000"/>
          <a:lumOff val="50000"/>
        </a:sys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600" b="1" i="0" u="none" strike="noStrike" kern="1200" spc="0" baseline="0">
                <a:solidFill>
                  <a:schemeClr val="tx1"/>
                </a:solidFill>
                <a:latin typeface="Arial" panose="020B0604020202020204" pitchFamily="34" charset="0"/>
                <a:cs typeface="Arial" panose="020B0604020202020204" pitchFamily="34" charset="0"/>
              </a:rPr>
              <a:t>REScoopVPP  –  Virtual Power Plants (VPPs)</a:t>
            </a:r>
          </a:p>
        </c:rich>
      </c:tx>
      <c:layout>
        <c:manualLayout>
          <c:xMode val="edge"/>
          <c:yMode val="edge"/>
          <c:x val="0.23115332271882699"/>
          <c:y val="2.770413039379498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097023541963476"/>
          <c:y val="0.22111855934115462"/>
          <c:w val="0.35600562319477957"/>
          <c:h val="0.70667325154034444"/>
        </c:manualLayout>
      </c:layout>
      <c:radarChart>
        <c:radarStyle val="marker"/>
        <c:varyColors val="0"/>
        <c:ser>
          <c:idx val="0"/>
          <c:order val="0"/>
          <c:tx>
            <c:strRef>
              <c:f>FunctionalityMapping!$B$26:$C$26</c:f>
              <c:strCache>
                <c:ptCount val="2"/>
                <c:pt idx="0">
                  <c:v>REScoopVPP</c:v>
                </c:pt>
                <c:pt idx="1">
                  <c:v>Virtual Power Plants (VPPs)</c:v>
                </c:pt>
              </c:strCache>
            </c:strRef>
          </c:tx>
          <c:spPr>
            <a:ln w="28575" cap="rnd">
              <a:solidFill>
                <a:schemeClr val="accent1"/>
              </a:solidFill>
              <a:round/>
            </a:ln>
            <a:effectLst/>
          </c:spPr>
          <c:marker>
            <c:symbol val="none"/>
          </c:marker>
          <c:cat>
            <c:strRef>
              <c:f>FunctionalityMapping!$E$4:$P$4</c:f>
              <c:strCache>
                <c:ptCount val="12"/>
                <c:pt idx="0">
                  <c:v>Community Energy Management Systems (CEMS)</c:v>
                </c:pt>
                <c:pt idx="1">
                  <c:v>Home Energy Management Systems (HEMS)</c:v>
                </c:pt>
                <c:pt idx="2">
                  <c:v>Demand Response Systems</c:v>
                </c:pt>
                <c:pt idx="3">
                  <c:v>Community level Modelling</c:v>
                </c:pt>
                <c:pt idx="4">
                  <c:v>AI-powered Forecasting</c:v>
                </c:pt>
                <c:pt idx="5">
                  <c:v>Machine learning algorithms</c:v>
                </c:pt>
                <c:pt idx="6">
                  <c:v>AI-Driven Energy Optimization</c:v>
                </c:pt>
                <c:pt idx="7">
                  <c:v>Anomaly Detection in Energy systems</c:v>
                </c:pt>
                <c:pt idx="8">
                  <c:v>Energy Dashboards</c:v>
                </c:pt>
                <c:pt idx="9">
                  <c:v>Data visualization</c:v>
                </c:pt>
                <c:pt idx="10">
                  <c:v>Energy sharing application</c:v>
                </c:pt>
                <c:pt idx="11">
                  <c:v>Automated Billing Platforms</c:v>
                </c:pt>
              </c:strCache>
            </c:strRef>
          </c:cat>
          <c:val>
            <c:numRef>
              <c:f>FunctionalityMapping!$D$26:$P$26</c:f>
              <c:numCache>
                <c:formatCode>General</c:formatCode>
                <c:ptCount val="12"/>
                <c:pt idx="0">
                  <c:v>3</c:v>
                </c:pt>
                <c:pt idx="1">
                  <c:v>0</c:v>
                </c:pt>
                <c:pt idx="2">
                  <c:v>2</c:v>
                </c:pt>
                <c:pt idx="3">
                  <c:v>2</c:v>
                </c:pt>
                <c:pt idx="4">
                  <c:v>1</c:v>
                </c:pt>
                <c:pt idx="5">
                  <c:v>1</c:v>
                </c:pt>
                <c:pt idx="6">
                  <c:v>1</c:v>
                </c:pt>
                <c:pt idx="7">
                  <c:v>1</c:v>
                </c:pt>
                <c:pt idx="8">
                  <c:v>2</c:v>
                </c:pt>
                <c:pt idx="9">
                  <c:v>2</c:v>
                </c:pt>
                <c:pt idx="10">
                  <c:v>3</c:v>
                </c:pt>
                <c:pt idx="11">
                  <c:v>2</c:v>
                </c:pt>
              </c:numCache>
            </c:numRef>
          </c:val>
          <c:extLst>
            <c:ext xmlns:c16="http://schemas.microsoft.com/office/drawing/2014/chart" uri="{C3380CC4-5D6E-409C-BE32-E72D297353CC}">
              <c16:uniqueId val="{00000000-6220-4C0C-A698-FECF85E8A50A}"/>
            </c:ext>
          </c:extLst>
        </c:ser>
        <c:dLbls>
          <c:showLegendKey val="0"/>
          <c:showVal val="0"/>
          <c:showCatName val="0"/>
          <c:showSerName val="0"/>
          <c:showPercent val="0"/>
          <c:showBubbleSize val="0"/>
        </c:dLbls>
        <c:axId val="672154047"/>
        <c:axId val="672137727"/>
      </c:radarChart>
      <c:catAx>
        <c:axId val="672154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72137727"/>
        <c:crosses val="autoZero"/>
        <c:auto val="1"/>
        <c:lblAlgn val="ctr"/>
        <c:lblOffset val="100"/>
        <c:noMultiLvlLbl val="0"/>
      </c:catAx>
      <c:valAx>
        <c:axId val="6721377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72154047"/>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lumMod val="50000"/>
          <a:lumOff val="50000"/>
        </a:sys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600" b="1">
                <a:solidFill>
                  <a:schemeClr val="tx1"/>
                </a:solidFill>
                <a:latin typeface="Arial" panose="020B0604020202020204" pitchFamily="34" charset="0"/>
                <a:cs typeface="Arial" panose="020B0604020202020204" pitchFamily="34" charset="0"/>
              </a:rPr>
              <a:t>MESMO </a:t>
            </a:r>
            <a:r>
              <a:rPr lang="en-US" sz="1600" b="1" i="0" u="none" strike="noStrike" kern="1200" spc="0" baseline="0">
                <a:solidFill>
                  <a:schemeClr val="tx1"/>
                </a:solidFill>
                <a:latin typeface="Arial" panose="020B0604020202020204" pitchFamily="34" charset="0"/>
                <a:cs typeface="Arial" panose="020B0604020202020204" pitchFamily="34" charset="0"/>
              </a:rPr>
              <a:t>– </a:t>
            </a:r>
            <a:r>
              <a:rPr lang="en-US" sz="1600" b="1">
                <a:solidFill>
                  <a:schemeClr val="tx1"/>
                </a:solidFill>
                <a:latin typeface="Arial" panose="020B0604020202020204" pitchFamily="34" charset="0"/>
                <a:cs typeface="Arial" panose="020B0604020202020204" pitchFamily="34" charset="0"/>
              </a:rPr>
              <a:t> AI-Driven Energy Optimization</a:t>
            </a:r>
          </a:p>
        </c:rich>
      </c:tx>
      <c:layout>
        <c:manualLayout>
          <c:xMode val="edge"/>
          <c:yMode val="edge"/>
          <c:x val="0.24722147916247986"/>
          <c:y val="4.079479496395863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391115486269024"/>
          <c:y val="0.23973116846819326"/>
          <c:w val="0.33039563435546654"/>
          <c:h val="0.68944524247486205"/>
        </c:manualLayout>
      </c:layout>
      <c:radarChart>
        <c:radarStyle val="marker"/>
        <c:varyColors val="0"/>
        <c:ser>
          <c:idx val="0"/>
          <c:order val="0"/>
          <c:tx>
            <c:strRef>
              <c:f>FunctionalityMapping!$B$18:$C$18</c:f>
              <c:strCache>
                <c:ptCount val="2"/>
                <c:pt idx="0">
                  <c:v>MESMO</c:v>
                </c:pt>
                <c:pt idx="1">
                  <c:v>AI-Driven Energy Optimization</c:v>
                </c:pt>
              </c:strCache>
            </c:strRef>
          </c:tx>
          <c:spPr>
            <a:ln w="28575" cap="rnd">
              <a:solidFill>
                <a:schemeClr val="accent1"/>
              </a:solidFill>
              <a:round/>
            </a:ln>
            <a:effectLst/>
          </c:spPr>
          <c:marker>
            <c:symbol val="none"/>
          </c:marker>
          <c:cat>
            <c:strRef>
              <c:f>FunctionalityMapping!$E$4:$P$4</c:f>
              <c:strCache>
                <c:ptCount val="12"/>
                <c:pt idx="0">
                  <c:v>Community Energy Management Systems (CEMS)</c:v>
                </c:pt>
                <c:pt idx="1">
                  <c:v>Home Energy Management Systems (HEMS)</c:v>
                </c:pt>
                <c:pt idx="2">
                  <c:v>Demand Response Systems</c:v>
                </c:pt>
                <c:pt idx="3">
                  <c:v>Community level Modelling</c:v>
                </c:pt>
                <c:pt idx="4">
                  <c:v>AI-powered Forecasting</c:v>
                </c:pt>
                <c:pt idx="5">
                  <c:v>Machine learning algorithms</c:v>
                </c:pt>
                <c:pt idx="6">
                  <c:v>AI-Driven Energy Optimization</c:v>
                </c:pt>
                <c:pt idx="7">
                  <c:v>Anomaly Detection in Energy systems</c:v>
                </c:pt>
                <c:pt idx="8">
                  <c:v>Energy Dashboards</c:v>
                </c:pt>
                <c:pt idx="9">
                  <c:v>Data visualization</c:v>
                </c:pt>
                <c:pt idx="10">
                  <c:v>Energy sharing application</c:v>
                </c:pt>
                <c:pt idx="11">
                  <c:v>Automated Billing Platforms</c:v>
                </c:pt>
              </c:strCache>
            </c:strRef>
          </c:cat>
          <c:val>
            <c:numRef>
              <c:f>FunctionalityMapping!$D$18:$P$18</c:f>
              <c:numCache>
                <c:formatCode>General</c:formatCode>
                <c:ptCount val="12"/>
                <c:pt idx="0">
                  <c:v>2</c:v>
                </c:pt>
                <c:pt idx="1">
                  <c:v>1</c:v>
                </c:pt>
                <c:pt idx="2">
                  <c:v>2</c:v>
                </c:pt>
                <c:pt idx="3">
                  <c:v>3</c:v>
                </c:pt>
                <c:pt idx="4">
                  <c:v>2</c:v>
                </c:pt>
                <c:pt idx="5">
                  <c:v>2</c:v>
                </c:pt>
                <c:pt idx="6">
                  <c:v>2</c:v>
                </c:pt>
                <c:pt idx="7">
                  <c:v>2</c:v>
                </c:pt>
                <c:pt idx="8">
                  <c:v>1</c:v>
                </c:pt>
                <c:pt idx="9">
                  <c:v>2</c:v>
                </c:pt>
                <c:pt idx="10">
                  <c:v>1</c:v>
                </c:pt>
                <c:pt idx="11">
                  <c:v>0</c:v>
                </c:pt>
              </c:numCache>
            </c:numRef>
          </c:val>
          <c:extLst>
            <c:ext xmlns:c16="http://schemas.microsoft.com/office/drawing/2014/chart" uri="{C3380CC4-5D6E-409C-BE32-E72D297353CC}">
              <c16:uniqueId val="{00000000-F0CE-446D-8B94-CC40B064A81E}"/>
            </c:ext>
          </c:extLst>
        </c:ser>
        <c:dLbls>
          <c:showLegendKey val="0"/>
          <c:showVal val="0"/>
          <c:showCatName val="0"/>
          <c:showSerName val="0"/>
          <c:showPercent val="0"/>
          <c:showBubbleSize val="0"/>
        </c:dLbls>
        <c:axId val="675529215"/>
        <c:axId val="675523935"/>
      </c:radarChart>
      <c:catAx>
        <c:axId val="675529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75523935"/>
        <c:crosses val="autoZero"/>
        <c:auto val="1"/>
        <c:lblAlgn val="ctr"/>
        <c:lblOffset val="100"/>
        <c:noMultiLvlLbl val="0"/>
      </c:catAx>
      <c:valAx>
        <c:axId val="6755239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75529215"/>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lumMod val="50000"/>
          <a:lumOff val="50000"/>
        </a:sys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2401603</xdr:colOff>
      <xdr:row>0</xdr:row>
      <xdr:rowOff>122115</xdr:rowOff>
    </xdr:from>
    <xdr:to>
      <xdr:col>2</xdr:col>
      <xdr:colOff>4934491</xdr:colOff>
      <xdr:row>0</xdr:row>
      <xdr:rowOff>658817</xdr:rowOff>
    </xdr:to>
    <xdr:pic>
      <xdr:nvPicPr>
        <xdr:cNvPr id="3" name="Picture 2">
          <a:extLst>
            <a:ext uri="{FF2B5EF4-FFF2-40B4-BE49-F238E27FC236}">
              <a16:creationId xmlns:a16="http://schemas.microsoft.com/office/drawing/2014/main" id="{D71BC1B8-1B28-764F-0E8A-E19D7BC245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17180" y="122115"/>
          <a:ext cx="2532888" cy="5303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128657</xdr:colOff>
      <xdr:row>37</xdr:row>
      <xdr:rowOff>55218</xdr:rowOff>
    </xdr:from>
    <xdr:to>
      <xdr:col>29</xdr:col>
      <xdr:colOff>455545</xdr:colOff>
      <xdr:row>96</xdr:row>
      <xdr:rowOff>69336</xdr:rowOff>
    </xdr:to>
    <xdr:grpSp>
      <xdr:nvGrpSpPr>
        <xdr:cNvPr id="25" name="Group 24">
          <a:extLst>
            <a:ext uri="{FF2B5EF4-FFF2-40B4-BE49-F238E27FC236}">
              <a16:creationId xmlns:a16="http://schemas.microsoft.com/office/drawing/2014/main" id="{00000000-0008-0000-0900-000019000000}"/>
            </a:ext>
          </a:extLst>
        </xdr:cNvPr>
        <xdr:cNvGrpSpPr/>
      </xdr:nvGrpSpPr>
      <xdr:grpSpPr>
        <a:xfrm>
          <a:off x="23407724" y="8028723"/>
          <a:ext cx="16041403" cy="11499861"/>
          <a:chOff x="228539" y="-2443971"/>
          <a:chExt cx="11502144" cy="10933579"/>
        </a:xfrm>
      </xdr:grpSpPr>
      <xdr:graphicFrame macro="">
        <xdr:nvGraphicFramePr>
          <xdr:cNvPr id="26" name="Chart 25">
            <a:extLst>
              <a:ext uri="{FF2B5EF4-FFF2-40B4-BE49-F238E27FC236}">
                <a16:creationId xmlns:a16="http://schemas.microsoft.com/office/drawing/2014/main" id="{00000000-0008-0000-0900-00001A000000}"/>
              </a:ext>
            </a:extLst>
          </xdr:cNvPr>
          <xdr:cNvGraphicFramePr>
            <a:graphicFrameLocks/>
          </xdr:cNvGraphicFramePr>
        </xdr:nvGraphicFramePr>
        <xdr:xfrm>
          <a:off x="228539" y="-2443971"/>
          <a:ext cx="5751862" cy="363670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27" name="Chart 26">
            <a:extLst>
              <a:ext uri="{FF2B5EF4-FFF2-40B4-BE49-F238E27FC236}">
                <a16:creationId xmlns:a16="http://schemas.microsoft.com/office/drawing/2014/main" id="{00000000-0008-0000-0900-00001B000000}"/>
              </a:ext>
            </a:extLst>
          </xdr:cNvPr>
          <xdr:cNvGraphicFramePr>
            <a:graphicFrameLocks/>
          </xdr:cNvGraphicFramePr>
        </xdr:nvGraphicFramePr>
        <xdr:xfrm>
          <a:off x="5980401" y="-2443971"/>
          <a:ext cx="5750281" cy="3636701"/>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28" name="Chart 27">
            <a:extLst>
              <a:ext uri="{FF2B5EF4-FFF2-40B4-BE49-F238E27FC236}">
                <a16:creationId xmlns:a16="http://schemas.microsoft.com/office/drawing/2014/main" id="{00000000-0008-0000-0900-00001C000000}"/>
              </a:ext>
            </a:extLst>
          </xdr:cNvPr>
          <xdr:cNvGraphicFramePr>
            <a:graphicFrameLocks/>
          </xdr:cNvGraphicFramePr>
        </xdr:nvGraphicFramePr>
        <xdr:xfrm>
          <a:off x="230120" y="1192730"/>
          <a:ext cx="5750281" cy="363670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29" name="Chart 28">
            <a:extLst>
              <a:ext uri="{FF2B5EF4-FFF2-40B4-BE49-F238E27FC236}">
                <a16:creationId xmlns:a16="http://schemas.microsoft.com/office/drawing/2014/main" id="{00000000-0008-0000-0900-00001D000000}"/>
              </a:ext>
            </a:extLst>
          </xdr:cNvPr>
          <xdr:cNvGraphicFramePr>
            <a:graphicFrameLocks/>
          </xdr:cNvGraphicFramePr>
        </xdr:nvGraphicFramePr>
        <xdr:xfrm>
          <a:off x="5980401" y="1192729"/>
          <a:ext cx="5750281" cy="3636701"/>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30" name="Chart 29">
            <a:extLst>
              <a:ext uri="{FF2B5EF4-FFF2-40B4-BE49-F238E27FC236}">
                <a16:creationId xmlns:a16="http://schemas.microsoft.com/office/drawing/2014/main" id="{00000000-0008-0000-0900-00001E000000}"/>
              </a:ext>
            </a:extLst>
          </xdr:cNvPr>
          <xdr:cNvGraphicFramePr>
            <a:graphicFrameLocks/>
          </xdr:cNvGraphicFramePr>
        </xdr:nvGraphicFramePr>
        <xdr:xfrm>
          <a:off x="228539" y="4829431"/>
          <a:ext cx="5751862" cy="3656091"/>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31" name="Chart 30">
            <a:extLst>
              <a:ext uri="{FF2B5EF4-FFF2-40B4-BE49-F238E27FC236}">
                <a16:creationId xmlns:a16="http://schemas.microsoft.com/office/drawing/2014/main" id="{00000000-0008-0000-0900-00001F000000}"/>
              </a:ext>
            </a:extLst>
          </xdr:cNvPr>
          <xdr:cNvGraphicFramePr>
            <a:graphicFrameLocks/>
          </xdr:cNvGraphicFramePr>
        </xdr:nvGraphicFramePr>
        <xdr:xfrm>
          <a:off x="5978821" y="4832566"/>
          <a:ext cx="5751862" cy="3657042"/>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U2Demo">
    <a:dk1>
      <a:srgbClr val="000000"/>
    </a:dk1>
    <a:lt1>
      <a:srgbClr val="FFFFFF"/>
    </a:lt1>
    <a:dk2>
      <a:srgbClr val="0E2841"/>
    </a:dk2>
    <a:lt2>
      <a:srgbClr val="E8E8E8"/>
    </a:lt2>
    <a:accent1>
      <a:srgbClr val="8259A5"/>
    </a:accent1>
    <a:accent2>
      <a:srgbClr val="FCDCE1"/>
    </a:accent2>
    <a:accent3>
      <a:srgbClr val="305D92"/>
    </a:accent3>
    <a:accent4>
      <a:srgbClr val="4B8DC7"/>
    </a:accent4>
    <a:accent5>
      <a:srgbClr val="9BCDED"/>
    </a:accent5>
    <a:accent6>
      <a:srgbClr val="D9DFE2"/>
    </a:accent6>
    <a:hlink>
      <a:srgbClr val="8259A5"/>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U2Demo">
    <a:dk1>
      <a:srgbClr val="000000"/>
    </a:dk1>
    <a:lt1>
      <a:srgbClr val="FFFFFF"/>
    </a:lt1>
    <a:dk2>
      <a:srgbClr val="0E2841"/>
    </a:dk2>
    <a:lt2>
      <a:srgbClr val="E8E8E8"/>
    </a:lt2>
    <a:accent1>
      <a:srgbClr val="8259A5"/>
    </a:accent1>
    <a:accent2>
      <a:srgbClr val="FCDCE1"/>
    </a:accent2>
    <a:accent3>
      <a:srgbClr val="305D92"/>
    </a:accent3>
    <a:accent4>
      <a:srgbClr val="4B8DC7"/>
    </a:accent4>
    <a:accent5>
      <a:srgbClr val="9BCDED"/>
    </a:accent5>
    <a:accent6>
      <a:srgbClr val="D9DFE2"/>
    </a:accent6>
    <a:hlink>
      <a:srgbClr val="8259A5"/>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U2Demo">
    <a:dk1>
      <a:srgbClr val="000000"/>
    </a:dk1>
    <a:lt1>
      <a:srgbClr val="FFFFFF"/>
    </a:lt1>
    <a:dk2>
      <a:srgbClr val="0E2841"/>
    </a:dk2>
    <a:lt2>
      <a:srgbClr val="E8E8E8"/>
    </a:lt2>
    <a:accent1>
      <a:srgbClr val="8259A5"/>
    </a:accent1>
    <a:accent2>
      <a:srgbClr val="FCDCE1"/>
    </a:accent2>
    <a:accent3>
      <a:srgbClr val="305D92"/>
    </a:accent3>
    <a:accent4>
      <a:srgbClr val="4B8DC7"/>
    </a:accent4>
    <a:accent5>
      <a:srgbClr val="9BCDED"/>
    </a:accent5>
    <a:accent6>
      <a:srgbClr val="D9DFE2"/>
    </a:accent6>
    <a:hlink>
      <a:srgbClr val="8259A5"/>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U2Demo">
    <a:dk1>
      <a:srgbClr val="000000"/>
    </a:dk1>
    <a:lt1>
      <a:srgbClr val="FFFFFF"/>
    </a:lt1>
    <a:dk2>
      <a:srgbClr val="0E2841"/>
    </a:dk2>
    <a:lt2>
      <a:srgbClr val="E8E8E8"/>
    </a:lt2>
    <a:accent1>
      <a:srgbClr val="8259A5"/>
    </a:accent1>
    <a:accent2>
      <a:srgbClr val="FCDCE1"/>
    </a:accent2>
    <a:accent3>
      <a:srgbClr val="305D92"/>
    </a:accent3>
    <a:accent4>
      <a:srgbClr val="4B8DC7"/>
    </a:accent4>
    <a:accent5>
      <a:srgbClr val="9BCDED"/>
    </a:accent5>
    <a:accent6>
      <a:srgbClr val="D9DFE2"/>
    </a:accent6>
    <a:hlink>
      <a:srgbClr val="8259A5"/>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U2Demo">
    <a:dk1>
      <a:srgbClr val="000000"/>
    </a:dk1>
    <a:lt1>
      <a:srgbClr val="FFFFFF"/>
    </a:lt1>
    <a:dk2>
      <a:srgbClr val="0E2841"/>
    </a:dk2>
    <a:lt2>
      <a:srgbClr val="E8E8E8"/>
    </a:lt2>
    <a:accent1>
      <a:srgbClr val="8259A5"/>
    </a:accent1>
    <a:accent2>
      <a:srgbClr val="FCDCE1"/>
    </a:accent2>
    <a:accent3>
      <a:srgbClr val="305D92"/>
    </a:accent3>
    <a:accent4>
      <a:srgbClr val="4B8DC7"/>
    </a:accent4>
    <a:accent5>
      <a:srgbClr val="9BCDED"/>
    </a:accent5>
    <a:accent6>
      <a:srgbClr val="D9DFE2"/>
    </a:accent6>
    <a:hlink>
      <a:srgbClr val="8259A5"/>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U2Demo">
    <a:dk1>
      <a:srgbClr val="000000"/>
    </a:dk1>
    <a:lt1>
      <a:srgbClr val="FFFFFF"/>
    </a:lt1>
    <a:dk2>
      <a:srgbClr val="0E2841"/>
    </a:dk2>
    <a:lt2>
      <a:srgbClr val="E8E8E8"/>
    </a:lt2>
    <a:accent1>
      <a:srgbClr val="8259A5"/>
    </a:accent1>
    <a:accent2>
      <a:srgbClr val="FCDCE1"/>
    </a:accent2>
    <a:accent3>
      <a:srgbClr val="305D92"/>
    </a:accent3>
    <a:accent4>
      <a:srgbClr val="4B8DC7"/>
    </a:accent4>
    <a:accent5>
      <a:srgbClr val="9BCDED"/>
    </a:accent5>
    <a:accent6>
      <a:srgbClr val="D9DFE2"/>
    </a:accent6>
    <a:hlink>
      <a:srgbClr val="8259A5"/>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gitlab.com/rescoopvpp/rescode" TargetMode="External"/><Relationship Id="rId18" Type="http://schemas.openxmlformats.org/officeDocument/2006/relationships/hyperlink" Target="https://powsybl.readthedocs.io/projects/openrao/en/stable/index.html" TargetMode="External"/><Relationship Id="rId26" Type="http://schemas.openxmlformats.org/officeDocument/2006/relationships/hyperlink" Target="https://www.ceem.unsw.edu.au/open-source-tools" TargetMode="External"/><Relationship Id="rId39" Type="http://schemas.openxmlformats.org/officeDocument/2006/relationships/hyperlink" Target="https://pytorch.org/" TargetMode="External"/><Relationship Id="rId21" Type="http://schemas.openxmlformats.org/officeDocument/2006/relationships/hyperlink" Target="https://github.com/mesmo-dev/mesmo" TargetMode="External"/><Relationship Id="rId34" Type="http://schemas.openxmlformats.org/officeDocument/2006/relationships/hyperlink" Target="https://github.com/earthobservations/wetterdienst" TargetMode="External"/><Relationship Id="rId42" Type="http://schemas.openxmlformats.org/officeDocument/2006/relationships/hyperlink" Target="https://flexiblepower.github.io/" TargetMode="External"/><Relationship Id="rId47" Type="http://schemas.openxmlformats.org/officeDocument/2006/relationships/hyperlink" Target="https://www.nrel.gov/buildings/resstock.html" TargetMode="External"/><Relationship Id="rId50" Type="http://schemas.openxmlformats.org/officeDocument/2006/relationships/hyperlink" Target="https://pvlib-python.readthedocs.io/" TargetMode="External"/><Relationship Id="rId55" Type="http://schemas.openxmlformats.org/officeDocument/2006/relationships/hyperlink" Target="https://github.com/VOLTTRON/volttron" TargetMode="External"/><Relationship Id="rId7" Type="http://schemas.openxmlformats.org/officeDocument/2006/relationships/hyperlink" Target="https://lfenergy.org/projects/openleadr/" TargetMode="External"/><Relationship Id="rId2" Type="http://schemas.openxmlformats.org/officeDocument/2006/relationships/hyperlink" Target="https://openremote.io/" TargetMode="External"/><Relationship Id="rId16" Type="http://schemas.openxmlformats.org/officeDocument/2006/relationships/hyperlink" Target="https://gridsingularity.com/" TargetMode="External"/><Relationship Id="rId29" Type="http://schemas.openxmlformats.org/officeDocument/2006/relationships/hyperlink" Target="https://github.com/NREL/REopt.jl" TargetMode="External"/><Relationship Id="rId11" Type="http://schemas.openxmlformats.org/officeDocument/2006/relationships/hyperlink" Target="https://github.com/frappe/erpnext" TargetMode="External"/><Relationship Id="rId24" Type="http://schemas.openxmlformats.org/officeDocument/2006/relationships/hyperlink" Target="https://thingsboard.io/" TargetMode="External"/><Relationship Id="rId32" Type="http://schemas.openxmlformats.org/officeDocument/2006/relationships/hyperlink" Target="https://github.com/grafana/grafana" TargetMode="External"/><Relationship Id="rId37" Type="http://schemas.openxmlformats.org/officeDocument/2006/relationships/hyperlink" Target="https://learn.microsoft.com/en-us/azure/ai-services/anomaly-detector/concepts/multivariate-architecture" TargetMode="External"/><Relationship Id="rId40" Type="http://schemas.openxmlformats.org/officeDocument/2006/relationships/hyperlink" Target="https://www.home-assistant.io/" TargetMode="External"/><Relationship Id="rId45" Type="http://schemas.openxmlformats.org/officeDocument/2006/relationships/hyperlink" Target="https://matpower.org/" TargetMode="External"/><Relationship Id="rId53" Type="http://schemas.openxmlformats.org/officeDocument/2006/relationships/hyperlink" Target="https://smartcitizen.me/" TargetMode="External"/><Relationship Id="rId58" Type="http://schemas.openxmlformats.org/officeDocument/2006/relationships/hyperlink" Target="https://evcc.io/" TargetMode="External"/><Relationship Id="rId5" Type="http://schemas.openxmlformats.org/officeDocument/2006/relationships/hyperlink" Target="https://github.com/PyPSA/PyPSA" TargetMode="External"/><Relationship Id="rId19" Type="http://schemas.openxmlformats.org/officeDocument/2006/relationships/hyperlink" Target="https://github.com/OpenSTEF/openstef" TargetMode="External"/><Relationship Id="rId4" Type="http://schemas.openxmlformats.org/officeDocument/2006/relationships/hyperlink" Target="https://openems.io/" TargetMode="External"/><Relationship Id="rId9" Type="http://schemas.openxmlformats.org/officeDocument/2006/relationships/hyperlink" Target="https://github.com/loomio/loomio" TargetMode="External"/><Relationship Id="rId14" Type="http://schemas.openxmlformats.org/officeDocument/2006/relationships/hyperlink" Target="https://www.rescoopvpp.eu/" TargetMode="External"/><Relationship Id="rId22" Type="http://schemas.openxmlformats.org/officeDocument/2006/relationships/hyperlink" Target="https://mesmo-dev.github.io/mesmo/develop/index.html" TargetMode="External"/><Relationship Id="rId27" Type="http://schemas.openxmlformats.org/officeDocument/2006/relationships/hyperlink" Target="https://www.enflow.org/" TargetMode="External"/><Relationship Id="rId30" Type="http://schemas.openxmlformats.org/officeDocument/2006/relationships/hyperlink" Target="https://reopt.nrel.gov/tool" TargetMode="External"/><Relationship Id="rId35" Type="http://schemas.openxmlformats.org/officeDocument/2006/relationships/hyperlink" Target="https://wetterdienst.eobs.org/" TargetMode="External"/><Relationship Id="rId43" Type="http://schemas.openxmlformats.org/officeDocument/2006/relationships/hyperlink" Target="https://github.com/flexiblepower/powermatcher" TargetMode="External"/><Relationship Id="rId48" Type="http://schemas.openxmlformats.org/officeDocument/2006/relationships/hyperlink" Target="https://www.openmodelica.org/" TargetMode="External"/><Relationship Id="rId56" Type="http://schemas.openxmlformats.org/officeDocument/2006/relationships/hyperlink" Target="https://volttron.org/" TargetMode="External"/><Relationship Id="rId8" Type="http://schemas.openxmlformats.org/officeDocument/2006/relationships/hyperlink" Target="https://github.com/OpenLEADR/openleadr-rs" TargetMode="External"/><Relationship Id="rId51" Type="http://schemas.openxmlformats.org/officeDocument/2006/relationships/hyperlink" Target="https://github.com/pvlib/pvlib-python" TargetMode="External"/><Relationship Id="rId3" Type="http://schemas.openxmlformats.org/officeDocument/2006/relationships/hyperlink" Target="https://github.com/OpenEMS/openems" TargetMode="External"/><Relationship Id="rId12" Type="http://schemas.openxmlformats.org/officeDocument/2006/relationships/hyperlink" Target="https://frappe.io/erpnext" TargetMode="External"/><Relationship Id="rId17" Type="http://schemas.openxmlformats.org/officeDocument/2006/relationships/hyperlink" Target="https://github.com/powsybl/pypowsybl" TargetMode="External"/><Relationship Id="rId25" Type="http://schemas.openxmlformats.org/officeDocument/2006/relationships/hyperlink" Target="https://github.com/UNSW-CEEM/energy-sharing" TargetMode="External"/><Relationship Id="rId33" Type="http://schemas.openxmlformats.org/officeDocument/2006/relationships/hyperlink" Target="https://grafana.com/" TargetMode="External"/><Relationship Id="rId38" Type="http://schemas.openxmlformats.org/officeDocument/2006/relationships/hyperlink" Target="https://github.com/pytorch/pytorch" TargetMode="External"/><Relationship Id="rId46" Type="http://schemas.openxmlformats.org/officeDocument/2006/relationships/hyperlink" Target="https://github.com/NREL/resstock" TargetMode="External"/><Relationship Id="rId20" Type="http://schemas.openxmlformats.org/officeDocument/2006/relationships/hyperlink" Target="https://openstef.github.io/openstef/" TargetMode="External"/><Relationship Id="rId41" Type="http://schemas.openxmlformats.org/officeDocument/2006/relationships/hyperlink" Target="https://github.com/home-assistant/core" TargetMode="External"/><Relationship Id="rId54" Type="http://schemas.openxmlformats.org/officeDocument/2006/relationships/hyperlink" Target="https://www.openhab.org/" TargetMode="External"/><Relationship Id="rId1" Type="http://schemas.openxmlformats.org/officeDocument/2006/relationships/hyperlink" Target="https://github.com/openremote/openremote" TargetMode="External"/><Relationship Id="rId6" Type="http://schemas.openxmlformats.org/officeDocument/2006/relationships/hyperlink" Target="https://www.pypsa.org/" TargetMode="External"/><Relationship Id="rId15" Type="http://schemas.openxmlformats.org/officeDocument/2006/relationships/hyperlink" Target="https://github.com/gridsingularity/gsy-e" TargetMode="External"/><Relationship Id="rId23" Type="http://schemas.openxmlformats.org/officeDocument/2006/relationships/hyperlink" Target="https://github.com/thingsboard/thingsboard" TargetMode="External"/><Relationship Id="rId28" Type="http://schemas.openxmlformats.org/officeDocument/2006/relationships/hyperlink" Target="https://github.com/rebase-energy/enflow" TargetMode="External"/><Relationship Id="rId36" Type="http://schemas.openxmlformats.org/officeDocument/2006/relationships/hyperlink" Target="https://github.com/Azure/AI-PredictiveMaintenance" TargetMode="External"/><Relationship Id="rId49" Type="http://schemas.openxmlformats.org/officeDocument/2006/relationships/hyperlink" Target="https://github.com/OpenModelica/OpenModelica" TargetMode="External"/><Relationship Id="rId57" Type="http://schemas.openxmlformats.org/officeDocument/2006/relationships/hyperlink" Target="https://github.com/evcc-io/evcc" TargetMode="External"/><Relationship Id="rId10" Type="http://schemas.openxmlformats.org/officeDocument/2006/relationships/hyperlink" Target="https://www.loomio.org/" TargetMode="External"/><Relationship Id="rId31" Type="http://schemas.openxmlformats.org/officeDocument/2006/relationships/hyperlink" Target="https://github.com/open-edge-platform/anomalib" TargetMode="External"/><Relationship Id="rId44" Type="http://schemas.openxmlformats.org/officeDocument/2006/relationships/hyperlink" Target="https://github.com/MATPOWER/matpower" TargetMode="External"/><Relationship Id="rId52" Type="http://schemas.openxmlformats.org/officeDocument/2006/relationships/hyperlink" Target="https://github.com/fablabbcn/smartcitizen-kit-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17" Type="http://schemas.openxmlformats.org/officeDocument/2006/relationships/hyperlink" Target="https://malcolm.fyi/" TargetMode="External"/><Relationship Id="rId299" Type="http://schemas.openxmlformats.org/officeDocument/2006/relationships/hyperlink" Target="https://wetterdienst.eobs.org/" TargetMode="External"/><Relationship Id="rId21" Type="http://schemas.openxmlformats.org/officeDocument/2006/relationships/hyperlink" Target="https://www.pandapower.org/" TargetMode="External"/><Relationship Id="rId63" Type="http://schemas.openxmlformats.org/officeDocument/2006/relationships/hyperlink" Target="https://forem.com/" TargetMode="External"/><Relationship Id="rId159" Type="http://schemas.openxmlformats.org/officeDocument/2006/relationships/hyperlink" Target="https://github.com/NREL/resstock" TargetMode="External"/><Relationship Id="rId170" Type="http://schemas.openxmlformats.org/officeDocument/2006/relationships/hyperlink" Target="https://github.com/lanl-ansi/PowerModels.jl" TargetMode="External"/><Relationship Id="rId226" Type="http://schemas.openxmlformats.org/officeDocument/2006/relationships/hyperlink" Target="https://kylin.apache.org/" TargetMode="External"/><Relationship Id="rId268" Type="http://schemas.openxmlformats.org/officeDocument/2006/relationships/hyperlink" Target="https://github.com/facebookresearch/Kats" TargetMode="External"/><Relationship Id="rId32" Type="http://schemas.openxmlformats.org/officeDocument/2006/relationships/hyperlink" Target="https://www.pypsa.org/" TargetMode="External"/><Relationship Id="rId74" Type="http://schemas.openxmlformats.org/officeDocument/2006/relationships/hyperlink" Target="https://smart-village.app/" TargetMode="External"/><Relationship Id="rId128" Type="http://schemas.openxmlformats.org/officeDocument/2006/relationships/hyperlink" Target="https://www.sandia.gov/ess/tools-resources/quest" TargetMode="External"/><Relationship Id="rId5" Type="http://schemas.openxmlformats.org/officeDocument/2006/relationships/hyperlink" Target="https://gitlab.com/mosaik/mosaik" TargetMode="External"/><Relationship Id="rId181" Type="http://schemas.openxmlformats.org/officeDocument/2006/relationships/hyperlink" Target="https://killbill.io/" TargetMode="External"/><Relationship Id="rId237" Type="http://schemas.openxmlformats.org/officeDocument/2006/relationships/hyperlink" Target="https://github.com/mapme-initiative/mapme.biodiversity" TargetMode="External"/><Relationship Id="rId279" Type="http://schemas.openxmlformats.org/officeDocument/2006/relationships/hyperlink" Target="https://github.com/TrystanLea/VirtualSmartGrid" TargetMode="External"/><Relationship Id="rId43" Type="http://schemas.openxmlformats.org/officeDocument/2006/relationships/hyperlink" Target="https://evcc.io/" TargetMode="External"/><Relationship Id="rId139" Type="http://schemas.openxmlformats.org/officeDocument/2006/relationships/hyperlink" Target="https://www.openmodelica.org/" TargetMode="External"/><Relationship Id="rId290" Type="http://schemas.openxmlformats.org/officeDocument/2006/relationships/hyperlink" Target="https://github.com/sogno-platform/dpsim" TargetMode="External"/><Relationship Id="rId304" Type="http://schemas.openxmlformats.org/officeDocument/2006/relationships/hyperlink" Target="https://open-meteo.com/" TargetMode="External"/><Relationship Id="rId85" Type="http://schemas.openxmlformats.org/officeDocument/2006/relationships/hyperlink" Target="https://github.com/EnergieID/entsoe-py" TargetMode="External"/><Relationship Id="rId150" Type="http://schemas.openxmlformats.org/officeDocument/2006/relationships/hyperlink" Target="https://openenergytransition.org/" TargetMode="External"/><Relationship Id="rId192" Type="http://schemas.openxmlformats.org/officeDocument/2006/relationships/hyperlink" Target="https://bill.run/" TargetMode="External"/><Relationship Id="rId206" Type="http://schemas.openxmlformats.org/officeDocument/2006/relationships/hyperlink" Target="https://khalil-research.github.io/PyEPO/build/html/index.html" TargetMode="External"/><Relationship Id="rId248" Type="http://schemas.openxmlformats.org/officeDocument/2006/relationships/hyperlink" Target="https://thingsboard.io/" TargetMode="External"/><Relationship Id="rId12" Type="http://schemas.openxmlformats.org/officeDocument/2006/relationships/hyperlink" Target="https://powertac.org/" TargetMode="External"/><Relationship Id="rId108" Type="http://schemas.openxmlformats.org/officeDocument/2006/relationships/hyperlink" Target="https://github.com/fablabbcn/smartcitizen-kit-21" TargetMode="External"/><Relationship Id="rId315" Type="http://schemas.openxmlformats.org/officeDocument/2006/relationships/hyperlink" Target="https://github.com/OpenEVSE/open_evse" TargetMode="External"/><Relationship Id="rId54" Type="http://schemas.openxmlformats.org/officeDocument/2006/relationships/hyperlink" Target="https://openems.io/" TargetMode="External"/><Relationship Id="rId96" Type="http://schemas.openxmlformats.org/officeDocument/2006/relationships/hyperlink" Target="https://github.com/intelligent-environments-lab/CityLearn" TargetMode="External"/><Relationship Id="rId161" Type="http://schemas.openxmlformats.org/officeDocument/2006/relationships/hyperlink" Target="http://asl.avtechscientific.com/" TargetMode="External"/><Relationship Id="rId217" Type="http://schemas.openxmlformats.org/officeDocument/2006/relationships/hyperlink" Target="https://dtaianomaly.readthedocs.io/en/stable/" TargetMode="External"/><Relationship Id="rId259" Type="http://schemas.openxmlformats.org/officeDocument/2006/relationships/hyperlink" Target="https://github.com/chartjs/Chart.js" TargetMode="External"/><Relationship Id="rId23" Type="http://schemas.openxmlformats.org/officeDocument/2006/relationships/hyperlink" Target="https://github.com/oemof/oemof-solph" TargetMode="External"/><Relationship Id="rId119" Type="http://schemas.openxmlformats.org/officeDocument/2006/relationships/hyperlink" Target="https://securityonionsolutions.com/" TargetMode="External"/><Relationship Id="rId270" Type="http://schemas.openxmlformats.org/officeDocument/2006/relationships/hyperlink" Target="https://github.com/facebook/prophet" TargetMode="External"/><Relationship Id="rId65" Type="http://schemas.openxmlformats.org/officeDocument/2006/relationships/hyperlink" Target="https://github.com/chain4energy/c4e-chain" TargetMode="External"/><Relationship Id="rId130" Type="http://schemas.openxmlformats.org/officeDocument/2006/relationships/hyperlink" Target="https://www2.nrel.gov/analysis/sienna" TargetMode="External"/><Relationship Id="rId172" Type="http://schemas.openxmlformats.org/officeDocument/2006/relationships/hyperlink" Target="https://www.code-saturne.org/" TargetMode="External"/><Relationship Id="rId228" Type="http://schemas.openxmlformats.org/officeDocument/2006/relationships/hyperlink" Target="https://iotdb.apache.org/" TargetMode="External"/><Relationship Id="rId13" Type="http://schemas.openxmlformats.org/officeDocument/2006/relationships/hyperlink" Target="https://github.com/richard-weinhold/pomato" TargetMode="External"/><Relationship Id="rId109" Type="http://schemas.openxmlformats.org/officeDocument/2006/relationships/hyperlink" Target="https://smartcitizen.me/" TargetMode="External"/><Relationship Id="rId260" Type="http://schemas.openxmlformats.org/officeDocument/2006/relationships/hyperlink" Target="https://github.com/knime/knime-core" TargetMode="External"/><Relationship Id="rId281" Type="http://schemas.openxmlformats.org/officeDocument/2006/relationships/hyperlink" Target="https://github.com/rebase-energy/enflow" TargetMode="External"/><Relationship Id="rId316" Type="http://schemas.openxmlformats.org/officeDocument/2006/relationships/hyperlink" Target="https://www.openevse.com/" TargetMode="External"/><Relationship Id="rId34" Type="http://schemas.openxmlformats.org/officeDocument/2006/relationships/hyperlink" Target="https://flexiblepower.github.io/" TargetMode="External"/><Relationship Id="rId55" Type="http://schemas.openxmlformats.org/officeDocument/2006/relationships/hyperlink" Target="https://decidim.org/" TargetMode="External"/><Relationship Id="rId76" Type="http://schemas.openxmlformats.org/officeDocument/2006/relationships/hyperlink" Target="https://github.com/openremote/openremote" TargetMode="External"/><Relationship Id="rId97" Type="http://schemas.openxmlformats.org/officeDocument/2006/relationships/hyperlink" Target="https://www.citylearn.net/" TargetMode="External"/><Relationship Id="rId120" Type="http://schemas.openxmlformats.org/officeDocument/2006/relationships/hyperlink" Target="https://github.com/zeek/zeek" TargetMode="External"/><Relationship Id="rId141" Type="http://schemas.openxmlformats.org/officeDocument/2006/relationships/hyperlink" Target="https://github.com/tum-ewk/lemlab" TargetMode="External"/><Relationship Id="rId7" Type="http://schemas.openxmlformats.org/officeDocument/2006/relationships/hyperlink" Target="https://github.com/EmperorRP/EnergySwap" TargetMode="External"/><Relationship Id="rId162" Type="http://schemas.openxmlformats.org/officeDocument/2006/relationships/hyperlink" Target="http://www.agros2d.org/" TargetMode="External"/><Relationship Id="rId183" Type="http://schemas.openxmlformats.org/officeDocument/2006/relationships/hyperlink" Target="https://github.com/getlago/lago" TargetMode="External"/><Relationship Id="rId218" Type="http://schemas.openxmlformats.org/officeDocument/2006/relationships/hyperlink" Target="https://github.com/open-edge-platform/anomalib" TargetMode="External"/><Relationship Id="rId239" Type="http://schemas.openxmlformats.org/officeDocument/2006/relationships/hyperlink" Target="https://mapserver.org/" TargetMode="External"/><Relationship Id="rId250" Type="http://schemas.openxmlformats.org/officeDocument/2006/relationships/hyperlink" Target="https://github.com/grafana/grafana" TargetMode="External"/><Relationship Id="rId271" Type="http://schemas.openxmlformats.org/officeDocument/2006/relationships/hyperlink" Target="https://facebook.github.io/prophet/" TargetMode="External"/><Relationship Id="rId292" Type="http://schemas.openxmlformats.org/officeDocument/2006/relationships/hyperlink" Target="https://dynawo.github.io/" TargetMode="External"/><Relationship Id="rId306" Type="http://schemas.openxmlformats.org/officeDocument/2006/relationships/hyperlink" Target="https://meteostat.net/" TargetMode="External"/><Relationship Id="rId24" Type="http://schemas.openxmlformats.org/officeDocument/2006/relationships/hyperlink" Target="https://github.com/PyPSA/PyPSA" TargetMode="External"/><Relationship Id="rId45" Type="http://schemas.openxmlformats.org/officeDocument/2006/relationships/hyperlink" Target="https://github.com/abriotde/openhems-sample" TargetMode="External"/><Relationship Id="rId66" Type="http://schemas.openxmlformats.org/officeDocument/2006/relationships/hyperlink" Target="https://c4e.io/" TargetMode="External"/><Relationship Id="rId87" Type="http://schemas.openxmlformats.org/officeDocument/2006/relationships/hyperlink" Target="https://github.com/GridProtectionAlliance/openPDC/tree/master" TargetMode="External"/><Relationship Id="rId110" Type="http://schemas.openxmlformats.org/officeDocument/2006/relationships/hyperlink" Target="https://github.com/bbartling/open-fdd" TargetMode="External"/><Relationship Id="rId131" Type="http://schemas.openxmlformats.org/officeDocument/2006/relationships/hyperlink" Target="https://energydata.info/" TargetMode="External"/><Relationship Id="rId152" Type="http://schemas.openxmlformats.org/officeDocument/2006/relationships/hyperlink" Target="https://www.sei.org/tools/nemo-the-next-energy-modeling-system-for-optimization/" TargetMode="External"/><Relationship Id="rId173" Type="http://schemas.openxmlformats.org/officeDocument/2006/relationships/hyperlink" Target="https://reho.readthedocs.io/en/main/sections/1_Overview.html" TargetMode="External"/><Relationship Id="rId194" Type="http://schemas.openxmlformats.org/officeDocument/2006/relationships/hyperlink" Target="https://github.com/OpenSTEF/openstef" TargetMode="External"/><Relationship Id="rId208" Type="http://schemas.openxmlformats.org/officeDocument/2006/relationships/hyperlink" Target="https://github.com/tamu-engineering-research/OpenGridGym" TargetMode="External"/><Relationship Id="rId229" Type="http://schemas.openxmlformats.org/officeDocument/2006/relationships/hyperlink" Target="https://github.com/qgis/QGIS" TargetMode="External"/><Relationship Id="rId240" Type="http://schemas.openxmlformats.org/officeDocument/2006/relationships/hyperlink" Target="https://github.com/OpenLEADR/openleadr-rs" TargetMode="External"/><Relationship Id="rId261" Type="http://schemas.openxmlformats.org/officeDocument/2006/relationships/hyperlink" Target="https://www.knime.com/" TargetMode="External"/><Relationship Id="rId14" Type="http://schemas.openxmlformats.org/officeDocument/2006/relationships/hyperlink" Target="https://gitlab.com/dlr-ve/esy/amiris/amiris" TargetMode="External"/><Relationship Id="rId35" Type="http://schemas.openxmlformats.org/officeDocument/2006/relationships/hyperlink" Target="https://softwaredefinedbuildings.github.io/smap/" TargetMode="External"/><Relationship Id="rId56" Type="http://schemas.openxmlformats.org/officeDocument/2006/relationships/hyperlink" Target="https://github.com/decidim/decidim" TargetMode="External"/><Relationship Id="rId77" Type="http://schemas.openxmlformats.org/officeDocument/2006/relationships/hyperlink" Target="https://openremote.io/" TargetMode="External"/><Relationship Id="rId100" Type="http://schemas.openxmlformats.org/officeDocument/2006/relationships/hyperlink" Target="https://lfenergy.org/projects/" TargetMode="External"/><Relationship Id="rId282" Type="http://schemas.openxmlformats.org/officeDocument/2006/relationships/hyperlink" Target="https://github.com/vinerya/virtual-power-plant" TargetMode="External"/><Relationship Id="rId317" Type="http://schemas.openxmlformats.org/officeDocument/2006/relationships/hyperlink" Target="https://github.com/SAP/emobility-smart-charging" TargetMode="External"/><Relationship Id="rId8" Type="http://schemas.openxmlformats.org/officeDocument/2006/relationships/hyperlink" Target="https://gitlab.com/rescoopvpp/rescode" TargetMode="External"/><Relationship Id="rId98" Type="http://schemas.openxmlformats.org/officeDocument/2006/relationships/hyperlink" Target="https://www.recurve.com/open-source" TargetMode="External"/><Relationship Id="rId121" Type="http://schemas.openxmlformats.org/officeDocument/2006/relationships/hyperlink" Target="https://zeek.org/" TargetMode="External"/><Relationship Id="rId142" Type="http://schemas.openxmlformats.org/officeDocument/2006/relationships/hyperlink" Target="https://github.com/yabata/ficus" TargetMode="External"/><Relationship Id="rId163" Type="http://schemas.openxmlformats.org/officeDocument/2006/relationships/hyperlink" Target="https://github.com/NREL-Sienna/PowerSimulations.jl" TargetMode="External"/><Relationship Id="rId184" Type="http://schemas.openxmlformats.org/officeDocument/2006/relationships/hyperlink" Target="https://www.getlago.com/" TargetMode="External"/><Relationship Id="rId219" Type="http://schemas.openxmlformats.org/officeDocument/2006/relationships/hyperlink" Target="https://github.com/Azure/AI-PredictiveMaintenance" TargetMode="External"/><Relationship Id="rId230" Type="http://schemas.openxmlformats.org/officeDocument/2006/relationships/hyperlink" Target="https://qgis.org/" TargetMode="External"/><Relationship Id="rId251" Type="http://schemas.openxmlformats.org/officeDocument/2006/relationships/hyperlink" Target="https://grafana.com/" TargetMode="External"/><Relationship Id="rId25" Type="http://schemas.openxmlformats.org/officeDocument/2006/relationships/hyperlink" Target="https://github.com/GRIDAPPSD/gridappsd-docker" TargetMode="External"/><Relationship Id="rId46" Type="http://schemas.openxmlformats.org/officeDocument/2006/relationships/hyperlink" Target="https://github.com/ACE-IoT-Solutions/open-hems-app" TargetMode="External"/><Relationship Id="rId67" Type="http://schemas.openxmlformats.org/officeDocument/2006/relationships/hyperlink" Target="https://www.iota.org/" TargetMode="External"/><Relationship Id="rId272" Type="http://schemas.openxmlformats.org/officeDocument/2006/relationships/hyperlink" Target="https://github.com/unit8co/darts" TargetMode="External"/><Relationship Id="rId293" Type="http://schemas.openxmlformats.org/officeDocument/2006/relationships/hyperlink" Target="https://lfenergy.org/projects/hyphae/" TargetMode="External"/><Relationship Id="rId307" Type="http://schemas.openxmlformats.org/officeDocument/2006/relationships/hyperlink" Target="https://www.climsoft.org/" TargetMode="External"/><Relationship Id="rId88" Type="http://schemas.openxmlformats.org/officeDocument/2006/relationships/hyperlink" Target="https://www.opennms.com/" TargetMode="External"/><Relationship Id="rId111" Type="http://schemas.openxmlformats.org/officeDocument/2006/relationships/hyperlink" Target="https://pypi.org/project/open-fdd/" TargetMode="External"/><Relationship Id="rId132" Type="http://schemas.openxmlformats.org/officeDocument/2006/relationships/hyperlink" Target="https://github.com/KIT-IAI/pyWATTS" TargetMode="External"/><Relationship Id="rId153" Type="http://schemas.openxmlformats.org/officeDocument/2006/relationships/hyperlink" Target="https://github.com/architecture-building-systems/CityEnergyAnalyst" TargetMode="External"/><Relationship Id="rId174" Type="http://schemas.openxmlformats.org/officeDocument/2006/relationships/hyperlink" Target="https://github.com/loomio/loomio" TargetMode="External"/><Relationship Id="rId195" Type="http://schemas.openxmlformats.org/officeDocument/2006/relationships/hyperlink" Target="https://openstef.github.io/openstef/" TargetMode="External"/><Relationship Id="rId209" Type="http://schemas.openxmlformats.org/officeDocument/2006/relationships/hyperlink" Target="https://github.com/MyEMS/myems" TargetMode="External"/><Relationship Id="rId220" Type="http://schemas.openxmlformats.org/officeDocument/2006/relationships/hyperlink" Target="https://learn.microsoft.com/en-us/azure/ai-services/anomaly-detector/concepts/multivariate-architecture" TargetMode="External"/><Relationship Id="rId241" Type="http://schemas.openxmlformats.org/officeDocument/2006/relationships/hyperlink" Target="https://colab.research.google.com/drive/1HPBz7Z6_kabAUWL7_WNG3Wvx-tpjvGop?usp=sharing" TargetMode="External"/><Relationship Id="rId15" Type="http://schemas.openxmlformats.org/officeDocument/2006/relationships/hyperlink" Target="https://helmholtz.software/software/amiris" TargetMode="External"/><Relationship Id="rId36" Type="http://schemas.openxmlformats.org/officeDocument/2006/relationships/hyperlink" Target="https://github.com/openhab/openhab-core" TargetMode="External"/><Relationship Id="rId57" Type="http://schemas.openxmlformats.org/officeDocument/2006/relationships/hyperlink" Target="https://github.com/friendica/friendica" TargetMode="External"/><Relationship Id="rId262" Type="http://schemas.openxmlformats.org/officeDocument/2006/relationships/hyperlink" Target="https://github.com/electricitymaps/electricitymaps-contrib" TargetMode="External"/><Relationship Id="rId283" Type="http://schemas.openxmlformats.org/officeDocument/2006/relationships/hyperlink" Target="https://gitlab.com/elenia1/elenia-energy-library" TargetMode="External"/><Relationship Id="rId318" Type="http://schemas.openxmlformats.org/officeDocument/2006/relationships/printerSettings" Target="../printerSettings/printerSettings3.bin"/><Relationship Id="rId78" Type="http://schemas.openxmlformats.org/officeDocument/2006/relationships/hyperlink" Target="https://github.com/taosdata/Tdengine" TargetMode="External"/><Relationship Id="rId99" Type="http://schemas.openxmlformats.org/officeDocument/2006/relationships/hyperlink" Target="https://www.nrel.gov/analysis/dsgrid.html" TargetMode="External"/><Relationship Id="rId101" Type="http://schemas.openxmlformats.org/officeDocument/2006/relationships/hyperlink" Target="https://github.com/switch-model/switch" TargetMode="External"/><Relationship Id="rId122" Type="http://schemas.openxmlformats.org/officeDocument/2006/relationships/hyperlink" Target="https://www.misp-project.org/" TargetMode="External"/><Relationship Id="rId143" Type="http://schemas.openxmlformats.org/officeDocument/2006/relationships/hyperlink" Target="https://energytransitionmodel.com/" TargetMode="External"/><Relationship Id="rId164" Type="http://schemas.openxmlformats.org/officeDocument/2006/relationships/hyperlink" Target="https://github.com/balmorelcommunity/Balmorel" TargetMode="External"/><Relationship Id="rId185" Type="http://schemas.openxmlformats.org/officeDocument/2006/relationships/hyperlink" Target="https://github.com/frappe/erpnext" TargetMode="External"/><Relationship Id="rId9" Type="http://schemas.openxmlformats.org/officeDocument/2006/relationships/hyperlink" Target="https://www.rescoopvpp.eu/" TargetMode="External"/><Relationship Id="rId210" Type="http://schemas.openxmlformats.org/officeDocument/2006/relationships/hyperlink" Target="https://myems.io/en/" TargetMode="External"/><Relationship Id="rId26" Type="http://schemas.openxmlformats.org/officeDocument/2006/relationships/hyperlink" Target="https://github.com/energyscope/EnergyScope" TargetMode="External"/><Relationship Id="rId231" Type="http://schemas.openxmlformats.org/officeDocument/2006/relationships/hyperlink" Target="https://aceiotsolutions.com/journal/2022/open-hems-mobile-app-now-available-in-public-repo.html" TargetMode="External"/><Relationship Id="rId252" Type="http://schemas.openxmlformats.org/officeDocument/2006/relationships/hyperlink" Target="https://superset.apache.org/" TargetMode="External"/><Relationship Id="rId273" Type="http://schemas.openxmlformats.org/officeDocument/2006/relationships/hyperlink" Target="https://unit8co.github.io/darts/" TargetMode="External"/><Relationship Id="rId294" Type="http://schemas.openxmlformats.org/officeDocument/2006/relationships/hyperlink" Target="https://github.com/hyphae/APIS" TargetMode="External"/><Relationship Id="rId308" Type="http://schemas.openxmlformats.org/officeDocument/2006/relationships/hyperlink" Target="https://github.com/NREL/REopt.jl" TargetMode="External"/><Relationship Id="rId47" Type="http://schemas.openxmlformats.org/officeDocument/2006/relationships/hyperlink" Target="https://github.com/heinemannj/huawei_solar_hems" TargetMode="External"/><Relationship Id="rId68" Type="http://schemas.openxmlformats.org/officeDocument/2006/relationships/hyperlink" Target="https://github.com/iotaledger/iota" TargetMode="External"/><Relationship Id="rId89" Type="http://schemas.openxmlformats.org/officeDocument/2006/relationships/hyperlink" Target="https://github.com/OpenNMS/opennms" TargetMode="External"/><Relationship Id="rId112" Type="http://schemas.openxmlformats.org/officeDocument/2006/relationships/hyperlink" Target="https://github.com/HIT2GAP-EU-PROJECT/bemserver/blob/master/app/bemserver/models/modules.py" TargetMode="External"/><Relationship Id="rId133" Type="http://schemas.openxmlformats.org/officeDocument/2006/relationships/hyperlink" Target="https://www.cs.waikato.ac.nz/ml/weka/" TargetMode="External"/><Relationship Id="rId154" Type="http://schemas.openxmlformats.org/officeDocument/2006/relationships/hyperlink" Target="https://cityenergyanalyst.com/" TargetMode="External"/><Relationship Id="rId175" Type="http://schemas.openxmlformats.org/officeDocument/2006/relationships/hyperlink" Target="https://www.loomio.org/" TargetMode="External"/><Relationship Id="rId196" Type="http://schemas.openxmlformats.org/officeDocument/2006/relationships/hyperlink" Target="https://github.com/Helmholtz-AI-Energy/electric-generation-forecasting" TargetMode="External"/><Relationship Id="rId200" Type="http://schemas.openxmlformats.org/officeDocument/2006/relationships/hyperlink" Target="https://github.com/kaymen99/AI-for-energy-sector" TargetMode="External"/><Relationship Id="rId16" Type="http://schemas.openxmlformats.org/officeDocument/2006/relationships/hyperlink" Target="https://github.com/gridsingularity/gsy-e" TargetMode="External"/><Relationship Id="rId221" Type="http://schemas.openxmlformats.org/officeDocument/2006/relationships/hyperlink" Target="https://www.microsoft.com/en-us/research/publication/batteryml-an-open-source-platform-for-machine-learning-on-battery-degradation/?msockid=3dc491333d316d33038d84f23ce36c37" TargetMode="External"/><Relationship Id="rId242" Type="http://schemas.openxmlformats.org/officeDocument/2006/relationships/hyperlink" Target="https://flexmeter.recurve.com/" TargetMode="External"/><Relationship Id="rId263" Type="http://schemas.openxmlformats.org/officeDocument/2006/relationships/hyperlink" Target="https://www.electricitymaps.com/" TargetMode="External"/><Relationship Id="rId284" Type="http://schemas.openxmlformats.org/officeDocument/2006/relationships/hyperlink" Target="https://github.com/energypilot-io/energypilot-io" TargetMode="External"/><Relationship Id="rId319" Type="http://schemas.microsoft.com/office/2019/04/relationships/namedSheetView" Target="../namedSheetViews/namedSheetView1.xml"/><Relationship Id="rId37" Type="http://schemas.openxmlformats.org/officeDocument/2006/relationships/hyperlink" Target="https://www.openhab.org/" TargetMode="External"/><Relationship Id="rId58" Type="http://schemas.openxmlformats.org/officeDocument/2006/relationships/hyperlink" Target="https://friendi.ca/" TargetMode="External"/><Relationship Id="rId79" Type="http://schemas.openxmlformats.org/officeDocument/2006/relationships/hyperlink" Target="https://tdengine.com/" TargetMode="External"/><Relationship Id="rId102" Type="http://schemas.openxmlformats.org/officeDocument/2006/relationships/hyperlink" Target="https://www.switch-model.org/" TargetMode="External"/><Relationship Id="rId123" Type="http://schemas.openxmlformats.org/officeDocument/2006/relationships/hyperlink" Target="https://github.com/MISP/MISP" TargetMode="External"/><Relationship Id="rId144" Type="http://schemas.openxmlformats.org/officeDocument/2006/relationships/hyperlink" Target="https://github.com/NREL/OpenStudio" TargetMode="External"/><Relationship Id="rId90" Type="http://schemas.openxmlformats.org/officeDocument/2006/relationships/hyperlink" Target="https://www.netdata.cloud/" TargetMode="External"/><Relationship Id="rId165" Type="http://schemas.openxmlformats.org/officeDocument/2006/relationships/hyperlink" Target="https://balmorelcommunity.github.io/Balmorel/index.html" TargetMode="External"/><Relationship Id="rId186" Type="http://schemas.openxmlformats.org/officeDocument/2006/relationships/hyperlink" Target="https://frappe.io/erpnext" TargetMode="External"/><Relationship Id="rId211" Type="http://schemas.openxmlformats.org/officeDocument/2006/relationships/hyperlink" Target="https://github.com/mesmo-dev/mesmo" TargetMode="External"/><Relationship Id="rId232" Type="http://schemas.openxmlformats.org/officeDocument/2006/relationships/hyperlink" Target="https://openhomesystem.com/" TargetMode="External"/><Relationship Id="rId253" Type="http://schemas.openxmlformats.org/officeDocument/2006/relationships/hyperlink" Target="https://github.com/apache/superset" TargetMode="External"/><Relationship Id="rId274" Type="http://schemas.openxmlformats.org/officeDocument/2006/relationships/hyperlink" Target="https://www.nixtla.io/" TargetMode="External"/><Relationship Id="rId295" Type="http://schemas.openxmlformats.org/officeDocument/2006/relationships/hyperlink" Target="https://github.com/ozsolarwind/siren" TargetMode="External"/><Relationship Id="rId309" Type="http://schemas.openxmlformats.org/officeDocument/2006/relationships/hyperlink" Target="https://reopt.nrel.gov/tool" TargetMode="External"/><Relationship Id="rId27" Type="http://schemas.openxmlformats.org/officeDocument/2006/relationships/hyperlink" Target="https://github.com/dss-extensions/OpenDSSDirect.py" TargetMode="External"/><Relationship Id="rId48" Type="http://schemas.openxmlformats.org/officeDocument/2006/relationships/hyperlink" Target="https://pomato.readthedocs.io/en/latest/" TargetMode="External"/><Relationship Id="rId69" Type="http://schemas.openxmlformats.org/officeDocument/2006/relationships/hyperlink" Target="https://github.com/hyperledger/fabric" TargetMode="External"/><Relationship Id="rId113" Type="http://schemas.openxmlformats.org/officeDocument/2006/relationships/hyperlink" Target="https://www.bemserver.org/wp-content/uploads/2019/09/FDD_user_guide.pdf" TargetMode="External"/><Relationship Id="rId134" Type="http://schemas.openxmlformats.org/officeDocument/2006/relationships/hyperlink" Target="https://posthog.com/" TargetMode="External"/><Relationship Id="rId80" Type="http://schemas.openxmlformats.org/officeDocument/2006/relationships/hyperlink" Target="https://github.com/elisa-tech/tsc" TargetMode="External"/><Relationship Id="rId155" Type="http://schemas.openxmlformats.org/officeDocument/2006/relationships/hyperlink" Target="https://github.com/NREL/OCHRE" TargetMode="External"/><Relationship Id="rId176" Type="http://schemas.openxmlformats.org/officeDocument/2006/relationships/hyperlink" Target="https://github.com/compdemocracy/polis" TargetMode="External"/><Relationship Id="rId197" Type="http://schemas.openxmlformats.org/officeDocument/2006/relationships/hyperlink" Target="https://www.helmholtz.ai/" TargetMode="External"/><Relationship Id="rId201" Type="http://schemas.openxmlformats.org/officeDocument/2006/relationships/hyperlink" Target="https://github.com/ShengrenHou/RL-ADN" TargetMode="External"/><Relationship Id="rId222" Type="http://schemas.openxmlformats.org/officeDocument/2006/relationships/hyperlink" Target="https://github.com/microsoft/BatteryML" TargetMode="External"/><Relationship Id="rId243" Type="http://schemas.openxmlformats.org/officeDocument/2006/relationships/hyperlink" Target="https://github.com/openjump-gis/openjump" TargetMode="External"/><Relationship Id="rId264" Type="http://schemas.openxmlformats.org/officeDocument/2006/relationships/hyperlink" Target="https://github.com/prometheus/prometheus" TargetMode="External"/><Relationship Id="rId285" Type="http://schemas.openxmlformats.org/officeDocument/2006/relationships/hyperlink" Target="https://www.iee.fraunhofer.de/de/anwendungsfelder/energiewirtschaft/ems/energypilot.html" TargetMode="External"/><Relationship Id="rId17" Type="http://schemas.openxmlformats.org/officeDocument/2006/relationships/hyperlink" Target="https://gridsingularity.com/" TargetMode="External"/><Relationship Id="rId38" Type="http://schemas.openxmlformats.org/officeDocument/2006/relationships/hyperlink" Target="https://github.com/davidusb-geek/emhass" TargetMode="External"/><Relationship Id="rId59" Type="http://schemas.openxmlformats.org/officeDocument/2006/relationships/hyperlink" Target="https://mobilizon.org/" TargetMode="External"/><Relationship Id="rId103" Type="http://schemas.openxmlformats.org/officeDocument/2006/relationships/hyperlink" Target="https://flexmeasures.io/" TargetMode="External"/><Relationship Id="rId124" Type="http://schemas.openxmlformats.org/officeDocument/2006/relationships/hyperlink" Target="https://grr-doc.readthedocs.io/en/latest/" TargetMode="External"/><Relationship Id="rId310" Type="http://schemas.openxmlformats.org/officeDocument/2006/relationships/hyperlink" Target="https://github.com/NREL/reV" TargetMode="External"/><Relationship Id="rId70" Type="http://schemas.openxmlformats.org/officeDocument/2006/relationships/hyperlink" Target="https://lf-hyperledger.atlassian.net/wiki/spaces/fabric/overview" TargetMode="External"/><Relationship Id="rId91" Type="http://schemas.openxmlformats.org/officeDocument/2006/relationships/hyperlink" Target="https://github.com/netdata/netdata" TargetMode="External"/><Relationship Id="rId145" Type="http://schemas.openxmlformats.org/officeDocument/2006/relationships/hyperlink" Target="https://openstudio.net/" TargetMode="External"/><Relationship Id="rId166" Type="http://schemas.openxmlformats.org/officeDocument/2006/relationships/hyperlink" Target="https://github.com/temoaproject/temoa" TargetMode="External"/><Relationship Id="rId187" Type="http://schemas.openxmlformats.org/officeDocument/2006/relationships/hyperlink" Target="https://github.com/idempiere/idempiere" TargetMode="External"/><Relationship Id="rId1" Type="http://schemas.openxmlformats.org/officeDocument/2006/relationships/hyperlink" Target="https://github.com/BYU-PRISM/GEKKO" TargetMode="External"/><Relationship Id="rId212" Type="http://schemas.openxmlformats.org/officeDocument/2006/relationships/hyperlink" Target="https://mesmo-dev.github.io/mesmo/develop/index.html" TargetMode="External"/><Relationship Id="rId233" Type="http://schemas.openxmlformats.org/officeDocument/2006/relationships/hyperlink" Target="https://aceiotsolutions.com/journal/2022/open-hems-mobile-app-now-available-in-public-repo.html" TargetMode="External"/><Relationship Id="rId254" Type="http://schemas.openxmlformats.org/officeDocument/2006/relationships/hyperlink" Target="https://github.com/metabase/metabase" TargetMode="External"/><Relationship Id="rId28" Type="http://schemas.openxmlformats.org/officeDocument/2006/relationships/hyperlink" Target="https://github.com/SoftwareDefinedBuildings/smap" TargetMode="External"/><Relationship Id="rId49" Type="http://schemas.openxmlformats.org/officeDocument/2006/relationships/hyperlink" Target="https://github.com/JuliaEnergy/PowerDynamics.jl" TargetMode="External"/><Relationship Id="rId114" Type="http://schemas.openxmlformats.org/officeDocument/2006/relationships/hyperlink" Target="https://github.com/DEDDIAG/deddiag-loader" TargetMode="External"/><Relationship Id="rId275" Type="http://schemas.openxmlformats.org/officeDocument/2006/relationships/hyperlink" Target="https://github.com/Nixtla/nixtla" TargetMode="External"/><Relationship Id="rId296" Type="http://schemas.openxmlformats.org/officeDocument/2006/relationships/hyperlink" Target="https://sen.asn.au/" TargetMode="External"/><Relationship Id="rId300" Type="http://schemas.openxmlformats.org/officeDocument/2006/relationships/hyperlink" Target="https://github.com/Unidata/MetPy" TargetMode="External"/><Relationship Id="rId60" Type="http://schemas.openxmlformats.org/officeDocument/2006/relationships/hyperlink" Target="https://framagit.org/kaihuri/mobilizon" TargetMode="External"/><Relationship Id="rId81" Type="http://schemas.openxmlformats.org/officeDocument/2006/relationships/hyperlink" Target="https://elisa.tech/" TargetMode="External"/><Relationship Id="rId135" Type="http://schemas.openxmlformats.org/officeDocument/2006/relationships/hyperlink" Target="https://energyplus.net/" TargetMode="External"/><Relationship Id="rId156" Type="http://schemas.openxmlformats.org/officeDocument/2006/relationships/hyperlink" Target="https://github.com/lbl-srg/modelica-buildings" TargetMode="External"/><Relationship Id="rId177" Type="http://schemas.openxmlformats.org/officeDocument/2006/relationships/hyperlink" Target="https://pol.is/" TargetMode="External"/><Relationship Id="rId198" Type="http://schemas.openxmlformats.org/officeDocument/2006/relationships/hyperlink" Target="https://github.com/attila-balint-kul/energy-forecast-benchmark-toolkit" TargetMode="External"/><Relationship Id="rId202" Type="http://schemas.openxmlformats.org/officeDocument/2006/relationships/hyperlink" Target="https://pypi.org/project/RL-ADN/" TargetMode="External"/><Relationship Id="rId223" Type="http://schemas.openxmlformats.org/officeDocument/2006/relationships/hyperlink" Target="https://flink.apache.org/" TargetMode="External"/><Relationship Id="rId244" Type="http://schemas.openxmlformats.org/officeDocument/2006/relationships/hyperlink" Target="http://www.openjump.org/" TargetMode="External"/><Relationship Id="rId18" Type="http://schemas.openxmlformats.org/officeDocument/2006/relationships/hyperlink" Target="https://github.com/openego/eDisGo" TargetMode="External"/><Relationship Id="rId39" Type="http://schemas.openxmlformats.org/officeDocument/2006/relationships/hyperlink" Target="https://community.home-assistant.io/t/emhass-an-energy-management-for-home-assistant/338126" TargetMode="External"/><Relationship Id="rId265" Type="http://schemas.openxmlformats.org/officeDocument/2006/relationships/hyperlink" Target="https://prometheus.io/" TargetMode="External"/><Relationship Id="rId286" Type="http://schemas.openxmlformats.org/officeDocument/2006/relationships/hyperlink" Target="https://github.com/dpnkr-s/LinkageX-SmartGrid-prosumer-simulator" TargetMode="External"/><Relationship Id="rId50" Type="http://schemas.openxmlformats.org/officeDocument/2006/relationships/hyperlink" Target="https://juliaenergy.github.io/PowerDynamics.jl/latest/" TargetMode="External"/><Relationship Id="rId104" Type="http://schemas.openxmlformats.org/officeDocument/2006/relationships/hyperlink" Target="https://github.com/FlexMeasures/flexmeasures" TargetMode="External"/><Relationship Id="rId125" Type="http://schemas.openxmlformats.org/officeDocument/2006/relationships/hyperlink" Target="https://github.com/google/grr" TargetMode="External"/><Relationship Id="rId146" Type="http://schemas.openxmlformats.org/officeDocument/2006/relationships/hyperlink" Target="https://www.esru.strath.ac.uk/applications/ESP-r/Features.html" TargetMode="External"/><Relationship Id="rId167" Type="http://schemas.openxmlformats.org/officeDocument/2006/relationships/hyperlink" Target="https://github.com/MATPOWER/matpower" TargetMode="External"/><Relationship Id="rId188" Type="http://schemas.openxmlformats.org/officeDocument/2006/relationships/hyperlink" Target="https://www.idempiere.org/" TargetMode="External"/><Relationship Id="rId311" Type="http://schemas.openxmlformats.org/officeDocument/2006/relationships/hyperlink" Target="https://github.com/powsybl/powsybl-open-rao" TargetMode="External"/><Relationship Id="rId71" Type="http://schemas.openxmlformats.org/officeDocument/2006/relationships/hyperlink" Target="https://github.com/ixian-platform/Ixian-DLT" TargetMode="External"/><Relationship Id="rId92" Type="http://schemas.openxmlformats.org/officeDocument/2006/relationships/hyperlink" Target="https://www.home-assistant.io/" TargetMode="External"/><Relationship Id="rId213" Type="http://schemas.openxmlformats.org/officeDocument/2006/relationships/hyperlink" Target="https://github.com/HardikPrabhu/EnergyTS-GANomaly-with-Parallel-Reconstruction" TargetMode="External"/><Relationship Id="rId234" Type="http://schemas.openxmlformats.org/officeDocument/2006/relationships/hyperlink" Target="https://github.com/FlexiGIS/FlexiGIS" TargetMode="External"/><Relationship Id="rId2" Type="http://schemas.openxmlformats.org/officeDocument/2006/relationships/hyperlink" Target="https://gekko.readthedocs.io/en/latest/" TargetMode="External"/><Relationship Id="rId29" Type="http://schemas.openxmlformats.org/officeDocument/2006/relationships/hyperlink" Target="https://volttron.org/" TargetMode="External"/><Relationship Id="rId255" Type="http://schemas.openxmlformats.org/officeDocument/2006/relationships/hyperlink" Target="https://www.metabase.com/" TargetMode="External"/><Relationship Id="rId276" Type="http://schemas.openxmlformats.org/officeDocument/2006/relationships/hyperlink" Target="https://github.com/UNSW-CEEM/energy-sharing" TargetMode="External"/><Relationship Id="rId297" Type="http://schemas.openxmlformats.org/officeDocument/2006/relationships/hyperlink" Target="https://github.com/bippo/openbravo" TargetMode="External"/><Relationship Id="rId40" Type="http://schemas.openxmlformats.org/officeDocument/2006/relationships/hyperlink" Target="https://github.com/boblemaire/IoTaWatt" TargetMode="External"/><Relationship Id="rId115" Type="http://schemas.openxmlformats.org/officeDocument/2006/relationships/hyperlink" Target="https://deddiag.github.io/about/" TargetMode="External"/><Relationship Id="rId136" Type="http://schemas.openxmlformats.org/officeDocument/2006/relationships/hyperlink" Target="https://data.openei.org/" TargetMode="External"/><Relationship Id="rId157" Type="http://schemas.openxmlformats.org/officeDocument/2006/relationships/hyperlink" Target="https://simulationresearch.lbl.gov/modelica/" TargetMode="External"/><Relationship Id="rId178" Type="http://schemas.openxmlformats.org/officeDocument/2006/relationships/hyperlink" Target="https://github.com/OnSSET/OnSSET" TargetMode="External"/><Relationship Id="rId301" Type="http://schemas.openxmlformats.org/officeDocument/2006/relationships/hyperlink" Target="https://unidata.github.io/MetPy/latest/" TargetMode="External"/><Relationship Id="rId61" Type="http://schemas.openxmlformats.org/officeDocument/2006/relationships/hyperlink" Target="https://www.discourse.org/" TargetMode="External"/><Relationship Id="rId82" Type="http://schemas.openxmlformats.org/officeDocument/2006/relationships/hyperlink" Target="https://github.com/seapath/build_debian_iso" TargetMode="External"/><Relationship Id="rId199" Type="http://schemas.openxmlformats.org/officeDocument/2006/relationships/hyperlink" Target="https://attila-balint-kul.github.io/energy-forecast-benchmark-toolkit/" TargetMode="External"/><Relationship Id="rId203" Type="http://schemas.openxmlformats.org/officeDocument/2006/relationships/hyperlink" Target="https://github.com/siemens/powergym" TargetMode="External"/><Relationship Id="rId19" Type="http://schemas.openxmlformats.org/officeDocument/2006/relationships/hyperlink" Target="https://edisgo.readthedocs.io/en/dev/" TargetMode="External"/><Relationship Id="rId224" Type="http://schemas.openxmlformats.org/officeDocument/2006/relationships/hyperlink" Target="https://github.com/apache/flink" TargetMode="External"/><Relationship Id="rId245" Type="http://schemas.openxmlformats.org/officeDocument/2006/relationships/hyperlink" Target="https://github.com/OpenEnergyDashboard/OED" TargetMode="External"/><Relationship Id="rId266" Type="http://schemas.openxmlformats.org/officeDocument/2006/relationships/hyperlink" Target="https://github.com/influxdata/influxdb" TargetMode="External"/><Relationship Id="rId287" Type="http://schemas.openxmlformats.org/officeDocument/2006/relationships/hyperlink" Target="https://www.callio.pe/" TargetMode="External"/><Relationship Id="rId30" Type="http://schemas.openxmlformats.org/officeDocument/2006/relationships/hyperlink" Target="https://openenergymonitor.org/" TargetMode="External"/><Relationship Id="rId105" Type="http://schemas.openxmlformats.org/officeDocument/2006/relationships/hyperlink" Target="https://github.com/datalab-auth/encoviz" TargetMode="External"/><Relationship Id="rId126" Type="http://schemas.openxmlformats.org/officeDocument/2006/relationships/hyperlink" Target="https://filigran.io/solutions/open-cti/" TargetMode="External"/><Relationship Id="rId147" Type="http://schemas.openxmlformats.org/officeDocument/2006/relationships/hyperlink" Target="https://github.com/NetLogo/NetLogo" TargetMode="External"/><Relationship Id="rId168" Type="http://schemas.openxmlformats.org/officeDocument/2006/relationships/hyperlink" Target="https://matpower.org/" TargetMode="External"/><Relationship Id="rId312" Type="http://schemas.openxmlformats.org/officeDocument/2006/relationships/hyperlink" Target="https://github.com/EnAccess/micropowermanager-agent-app" TargetMode="External"/><Relationship Id="rId51" Type="http://schemas.openxmlformats.org/officeDocument/2006/relationships/hyperlink" Target="https://github.com/ERIGrid2/k8s-netem" TargetMode="External"/><Relationship Id="rId72" Type="http://schemas.openxmlformats.org/officeDocument/2006/relationships/hyperlink" Target="https://www.ixian.io/" TargetMode="External"/><Relationship Id="rId93" Type="http://schemas.openxmlformats.org/officeDocument/2006/relationships/hyperlink" Target="https://github.com/home-assistant/core" TargetMode="External"/><Relationship Id="rId189" Type="http://schemas.openxmlformats.org/officeDocument/2006/relationships/hyperlink" Target="https://www.openbravo.com/" TargetMode="External"/><Relationship Id="rId3" Type="http://schemas.openxmlformats.org/officeDocument/2006/relationships/hyperlink" Target="https://github.com/gridlab-d/gridlab-d" TargetMode="External"/><Relationship Id="rId214" Type="http://schemas.openxmlformats.org/officeDocument/2006/relationships/hyperlink" Target="https://arxiv.org/abs/2402.14384" TargetMode="External"/><Relationship Id="rId235" Type="http://schemas.openxmlformats.org/officeDocument/2006/relationships/hyperlink" Target="https://www.dlr.de/de/ve/forschung-und-transfer/infrastruktur/modelle/optimierungsframework-flexigis" TargetMode="External"/><Relationship Id="rId256" Type="http://schemas.openxmlformats.org/officeDocument/2006/relationships/hyperlink" Target="https://vaex.io/" TargetMode="External"/><Relationship Id="rId277" Type="http://schemas.openxmlformats.org/officeDocument/2006/relationships/hyperlink" Target="https://www.ceem.unsw.edu.au/open-source-tools" TargetMode="External"/><Relationship Id="rId298" Type="http://schemas.openxmlformats.org/officeDocument/2006/relationships/hyperlink" Target="https://github.com/earthobservations/wetterdienst" TargetMode="External"/><Relationship Id="rId116" Type="http://schemas.openxmlformats.org/officeDocument/2006/relationships/hyperlink" Target="https://github.com/idaholab/Malcolm" TargetMode="External"/><Relationship Id="rId137" Type="http://schemas.openxmlformats.org/officeDocument/2006/relationships/hyperlink" Target="https://pvlib-python.readthedocs.io/" TargetMode="External"/><Relationship Id="rId158" Type="http://schemas.openxmlformats.org/officeDocument/2006/relationships/hyperlink" Target="https://github.com/ORNL-BTRIC/AutoBEM-DynamicArchetypes" TargetMode="External"/><Relationship Id="rId302" Type="http://schemas.openxmlformats.org/officeDocument/2006/relationships/hyperlink" Target="https://github.com/wrf-model/WRF" TargetMode="External"/><Relationship Id="rId20" Type="http://schemas.openxmlformats.org/officeDocument/2006/relationships/hyperlink" Target="https://github.com/e2nIEE/pandapower" TargetMode="External"/><Relationship Id="rId41" Type="http://schemas.openxmlformats.org/officeDocument/2006/relationships/hyperlink" Target="https://iotawatt.com/" TargetMode="External"/><Relationship Id="rId62" Type="http://schemas.openxmlformats.org/officeDocument/2006/relationships/hyperlink" Target="https://github.com/discourse/discourse" TargetMode="External"/><Relationship Id="rId83" Type="http://schemas.openxmlformats.org/officeDocument/2006/relationships/hyperlink" Target="https://lfenergy.org/projects/seapath/" TargetMode="External"/><Relationship Id="rId179" Type="http://schemas.openxmlformats.org/officeDocument/2006/relationships/hyperlink" Target="http://www.onsset.org/" TargetMode="External"/><Relationship Id="rId190" Type="http://schemas.openxmlformats.org/officeDocument/2006/relationships/hyperlink" Target="https://github.com/opencost/opencost" TargetMode="External"/><Relationship Id="rId204" Type="http://schemas.openxmlformats.org/officeDocument/2006/relationships/hyperlink" Target="https://github.com/pytorch/pytorch" TargetMode="External"/><Relationship Id="rId225" Type="http://schemas.openxmlformats.org/officeDocument/2006/relationships/hyperlink" Target="https://github.com/apache/kylin" TargetMode="External"/><Relationship Id="rId246" Type="http://schemas.openxmlformats.org/officeDocument/2006/relationships/hyperlink" Target="https://openenergydashboard.org/index.html" TargetMode="External"/><Relationship Id="rId267" Type="http://schemas.openxmlformats.org/officeDocument/2006/relationships/hyperlink" Target="https://www.influxdata.com/index/" TargetMode="External"/><Relationship Id="rId288" Type="http://schemas.openxmlformats.org/officeDocument/2006/relationships/hyperlink" Target="https://github.com/calliope-project/calliope" TargetMode="External"/><Relationship Id="rId106" Type="http://schemas.openxmlformats.org/officeDocument/2006/relationships/hyperlink" Target="https://arxiv.org/abs/2305.05303" TargetMode="External"/><Relationship Id="rId127" Type="http://schemas.openxmlformats.org/officeDocument/2006/relationships/hyperlink" Target="https://github.com/OpenCTI-Platform/opencti" TargetMode="External"/><Relationship Id="rId313" Type="http://schemas.openxmlformats.org/officeDocument/2006/relationships/hyperlink" Target="https://github.com/powsybl/powsybl-core" TargetMode="External"/><Relationship Id="rId10" Type="http://schemas.openxmlformats.org/officeDocument/2006/relationships/hyperlink" Target="https://github.com/Pyosch/vpplib" TargetMode="External"/><Relationship Id="rId31" Type="http://schemas.openxmlformats.org/officeDocument/2006/relationships/hyperlink" Target="https://oemof.org/" TargetMode="External"/><Relationship Id="rId52" Type="http://schemas.openxmlformats.org/officeDocument/2006/relationships/hyperlink" Target="https://erigrid2.eu/" TargetMode="External"/><Relationship Id="rId73" Type="http://schemas.openxmlformats.org/officeDocument/2006/relationships/hyperlink" Target="https://micropowermanager.io/" TargetMode="External"/><Relationship Id="rId94" Type="http://schemas.openxmlformats.org/officeDocument/2006/relationships/hyperlink" Target="https://lfenergy.org/projects/openleadr/" TargetMode="External"/><Relationship Id="rId148" Type="http://schemas.openxmlformats.org/officeDocument/2006/relationships/hyperlink" Target="https://ccl.northwestern.edu/netlogo/" TargetMode="External"/><Relationship Id="rId169" Type="http://schemas.openxmlformats.org/officeDocument/2006/relationships/hyperlink" Target="https://github.com/rwl/PYPOWER" TargetMode="External"/><Relationship Id="rId4" Type="http://schemas.openxmlformats.org/officeDocument/2006/relationships/hyperlink" Target="https://www.gridlabd.org/" TargetMode="External"/><Relationship Id="rId180" Type="http://schemas.openxmlformats.org/officeDocument/2006/relationships/hyperlink" Target="https://github.com/killbill" TargetMode="External"/><Relationship Id="rId215" Type="http://schemas.openxmlformats.org/officeDocument/2006/relationships/hyperlink" Target="https://github.com/sintel-dev/sintel" TargetMode="External"/><Relationship Id="rId236" Type="http://schemas.openxmlformats.org/officeDocument/2006/relationships/hyperlink" Target="https://www.mapme-initiative.org/" TargetMode="External"/><Relationship Id="rId257" Type="http://schemas.openxmlformats.org/officeDocument/2006/relationships/hyperlink" Target="https://github.com/vaexio/vaex" TargetMode="External"/><Relationship Id="rId278" Type="http://schemas.openxmlformats.org/officeDocument/2006/relationships/hyperlink" Target="https://github.com/BorisBrock/Sunalyzer" TargetMode="External"/><Relationship Id="rId303" Type="http://schemas.openxmlformats.org/officeDocument/2006/relationships/hyperlink" Target="https://www.mmm.ucar.edu/weather-research-and-forecasting-model" TargetMode="External"/><Relationship Id="rId42" Type="http://schemas.openxmlformats.org/officeDocument/2006/relationships/hyperlink" Target="https://github.com/evcc-io/evcc" TargetMode="External"/><Relationship Id="rId84" Type="http://schemas.openxmlformats.org/officeDocument/2006/relationships/hyperlink" Target="https://www.energyid.eu/de/" TargetMode="External"/><Relationship Id="rId138" Type="http://schemas.openxmlformats.org/officeDocument/2006/relationships/hyperlink" Target="https://lfenergy.org/projects/power-grid-model/" TargetMode="External"/><Relationship Id="rId191" Type="http://schemas.openxmlformats.org/officeDocument/2006/relationships/hyperlink" Target="https://opencost.io/" TargetMode="External"/><Relationship Id="rId205" Type="http://schemas.openxmlformats.org/officeDocument/2006/relationships/hyperlink" Target="https://pytorch.org/" TargetMode="External"/><Relationship Id="rId247" Type="http://schemas.openxmlformats.org/officeDocument/2006/relationships/hyperlink" Target="https://github.com/thingsboard/thingsboard" TargetMode="External"/><Relationship Id="rId107" Type="http://schemas.openxmlformats.org/officeDocument/2006/relationships/hyperlink" Target="https://github.com/nilmtk/nilmtk" TargetMode="External"/><Relationship Id="rId289" Type="http://schemas.openxmlformats.org/officeDocument/2006/relationships/hyperlink" Target="https://github.com/opfab/operatorfabric-core" TargetMode="External"/><Relationship Id="rId11" Type="http://schemas.openxmlformats.org/officeDocument/2006/relationships/hyperlink" Target="https://github.com/powertac/powertac-core" TargetMode="External"/><Relationship Id="rId53" Type="http://schemas.openxmlformats.org/officeDocument/2006/relationships/hyperlink" Target="https://github.com/OpenEMS/openems" TargetMode="External"/><Relationship Id="rId149" Type="http://schemas.openxmlformats.org/officeDocument/2006/relationships/hyperlink" Target="https://github.com/open-energy-transition" TargetMode="External"/><Relationship Id="rId314" Type="http://schemas.openxmlformats.org/officeDocument/2006/relationships/hyperlink" Target="https://flexiblepower.github.io/javadoc/powermatcher/v2.0/index.html" TargetMode="External"/><Relationship Id="rId95" Type="http://schemas.openxmlformats.org/officeDocument/2006/relationships/hyperlink" Target="https://www.gridlabd.org/" TargetMode="External"/><Relationship Id="rId160" Type="http://schemas.openxmlformats.org/officeDocument/2006/relationships/hyperlink" Target="https://github.com/Hopsan/hopsan" TargetMode="External"/><Relationship Id="rId216" Type="http://schemas.openxmlformats.org/officeDocument/2006/relationships/hyperlink" Target="https://github.com/ML-KULeuven/dtaianomaly" TargetMode="External"/><Relationship Id="rId258" Type="http://schemas.openxmlformats.org/officeDocument/2006/relationships/hyperlink" Target="https://www.chartjs.org/" TargetMode="External"/><Relationship Id="rId22" Type="http://schemas.openxmlformats.org/officeDocument/2006/relationships/hyperlink" Target="https://github.com/VOLTTRON/volttron" TargetMode="External"/><Relationship Id="rId64" Type="http://schemas.openxmlformats.org/officeDocument/2006/relationships/hyperlink" Target="https://github.com/forem/forem" TargetMode="External"/><Relationship Id="rId118" Type="http://schemas.openxmlformats.org/officeDocument/2006/relationships/hyperlink" Target="https://github.com/Security-Onion-Solutions/securityonion" TargetMode="External"/><Relationship Id="rId171" Type="http://schemas.openxmlformats.org/officeDocument/2006/relationships/hyperlink" Target="https://stochsd.sourceforge.io/" TargetMode="External"/><Relationship Id="rId227" Type="http://schemas.openxmlformats.org/officeDocument/2006/relationships/hyperlink" Target="https://github.com/apache/iotdb" TargetMode="External"/><Relationship Id="rId269" Type="http://schemas.openxmlformats.org/officeDocument/2006/relationships/hyperlink" Target="https://facebookresearch.github.io/Kats/" TargetMode="External"/><Relationship Id="rId33" Type="http://schemas.openxmlformats.org/officeDocument/2006/relationships/hyperlink" Target="https://www.pnnl.gov/main/publications/external/technical_reports/PNNL-26340.pdf" TargetMode="External"/><Relationship Id="rId129" Type="http://schemas.openxmlformats.org/officeDocument/2006/relationships/hyperlink" Target="https://prospect.energy/" TargetMode="External"/><Relationship Id="rId280" Type="http://schemas.openxmlformats.org/officeDocument/2006/relationships/hyperlink" Target="https://www.enflow.org/" TargetMode="External"/><Relationship Id="rId75" Type="http://schemas.openxmlformats.org/officeDocument/2006/relationships/hyperlink" Target="https://github.com/smart-village-solutions/smart-village-app-app" TargetMode="External"/><Relationship Id="rId140" Type="http://schemas.openxmlformats.org/officeDocument/2006/relationships/hyperlink" Target="http://www.osemosys.org/" TargetMode="External"/><Relationship Id="rId182" Type="http://schemas.openxmlformats.org/officeDocument/2006/relationships/hyperlink" Target="https://unibee.dev/" TargetMode="External"/><Relationship Id="rId6" Type="http://schemas.openxmlformats.org/officeDocument/2006/relationships/hyperlink" Target="https://mosaik.offis.de/" TargetMode="External"/><Relationship Id="rId238" Type="http://schemas.openxmlformats.org/officeDocument/2006/relationships/hyperlink" Target="https://github.com/MapServer/MapServer" TargetMode="External"/><Relationship Id="rId291" Type="http://schemas.openxmlformats.org/officeDocument/2006/relationships/hyperlink" Target="https://github.com/dynawo/dynawo" TargetMode="External"/><Relationship Id="rId305" Type="http://schemas.openxmlformats.org/officeDocument/2006/relationships/hyperlink" Target="https://github.com/meteostat" TargetMode="External"/><Relationship Id="rId44" Type="http://schemas.openxmlformats.org/officeDocument/2006/relationships/hyperlink" Target="https://github.com/Open-HEMS" TargetMode="External"/><Relationship Id="rId86" Type="http://schemas.openxmlformats.org/officeDocument/2006/relationships/hyperlink" Target="https://www.openpdc.com/index.asp" TargetMode="External"/><Relationship Id="rId151" Type="http://schemas.openxmlformats.org/officeDocument/2006/relationships/hyperlink" Target="https://github.com/sei-international/NemoMod.jl" TargetMode="External"/><Relationship Id="rId193" Type="http://schemas.openxmlformats.org/officeDocument/2006/relationships/hyperlink" Target="https://sourceforge.net/projects/electricdss/" TargetMode="External"/><Relationship Id="rId207" Type="http://schemas.openxmlformats.org/officeDocument/2006/relationships/hyperlink" Target="https://github.com/khalil-research/PyEPO" TargetMode="External"/><Relationship Id="rId249" Type="http://schemas.openxmlformats.org/officeDocument/2006/relationships/hyperlink" Target="https://github.com/shapeshifte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8" Type="http://schemas.openxmlformats.org/officeDocument/2006/relationships/hyperlink" Target="https://evcc.io/" TargetMode="External"/><Relationship Id="rId3" Type="http://schemas.openxmlformats.org/officeDocument/2006/relationships/hyperlink" Target="https://github.com/VOLTTRON/volttron" TargetMode="External"/><Relationship Id="rId7" Type="http://schemas.openxmlformats.org/officeDocument/2006/relationships/hyperlink" Target="https://github.com/evcc-io/evcc" TargetMode="External"/><Relationship Id="rId2" Type="http://schemas.openxmlformats.org/officeDocument/2006/relationships/hyperlink" Target="https://github.com/MATPOWER/matpower" TargetMode="External"/><Relationship Id="rId1" Type="http://schemas.openxmlformats.org/officeDocument/2006/relationships/hyperlink" Target="https://github.com/pvlib/pvlib-python" TargetMode="External"/><Relationship Id="rId6" Type="http://schemas.openxmlformats.org/officeDocument/2006/relationships/hyperlink" Target="https://github.com/UNSW-CEEM/energy-sharing" TargetMode="External"/><Relationship Id="rId5" Type="http://schemas.openxmlformats.org/officeDocument/2006/relationships/hyperlink" Target="https://github.com/home-assistant/core" TargetMode="External"/><Relationship Id="rId4" Type="http://schemas.openxmlformats.org/officeDocument/2006/relationships/hyperlink" Target="https://flexiblepower.github.io/javadoc/powermatcher/v2.0/index.html" TargetMode="External"/><Relationship Id="rId9"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31D95-C8BB-42DB-86DA-178C5C8EF30F}">
  <sheetPr codeName="Sheet1"/>
  <dimension ref="A1:F34"/>
  <sheetViews>
    <sheetView zoomScale="56" workbookViewId="0">
      <selection activeCell="B39" sqref="B39"/>
    </sheetView>
  </sheetViews>
  <sheetFormatPr defaultRowHeight="14.5" x14ac:dyDescent="0.35"/>
  <cols>
    <col min="1" max="1" width="7.7265625" bestFit="1" customWidth="1"/>
    <col min="2" max="2" width="25.1796875" customWidth="1"/>
    <col min="3" max="3" width="81.453125" customWidth="1"/>
    <col min="4" max="4" width="10.81640625" style="11" bestFit="1" customWidth="1"/>
    <col min="5" max="5" width="41.7265625" bestFit="1" customWidth="1"/>
  </cols>
  <sheetData>
    <row r="1" spans="1:6" ht="58" customHeight="1" x14ac:dyDescent="0.35">
      <c r="A1" s="418" t="s">
        <v>0</v>
      </c>
      <c r="B1" s="419"/>
      <c r="C1" t="e" vm="1">
        <v>#VALUE!</v>
      </c>
    </row>
    <row r="2" spans="1:6" x14ac:dyDescent="0.35">
      <c r="A2" s="420"/>
      <c r="B2" s="420"/>
    </row>
    <row r="3" spans="1:6" ht="16" x14ac:dyDescent="0.4">
      <c r="A3" s="421" t="s">
        <v>1</v>
      </c>
      <c r="B3" s="421"/>
      <c r="C3" s="151" t="s">
        <v>3289</v>
      </c>
      <c r="D3" s="154"/>
    </row>
    <row r="4" spans="1:6" ht="16" x14ac:dyDescent="0.4">
      <c r="A4" s="421" t="s">
        <v>3452</v>
      </c>
      <c r="B4" s="421"/>
      <c r="C4" s="151" t="s">
        <v>3453</v>
      </c>
      <c r="D4" s="154"/>
    </row>
    <row r="5" spans="1:6" x14ac:dyDescent="0.35">
      <c r="A5" s="422" t="s">
        <v>2</v>
      </c>
      <c r="B5" s="422"/>
      <c r="C5" s="153" t="s">
        <v>3</v>
      </c>
    </row>
    <row r="6" spans="1:6" x14ac:dyDescent="0.35">
      <c r="A6" s="422" t="s">
        <v>4</v>
      </c>
      <c r="B6" s="422"/>
      <c r="C6" s="1" t="s">
        <v>5</v>
      </c>
    </row>
    <row r="7" spans="1:6" x14ac:dyDescent="0.35">
      <c r="A7" s="422" t="s">
        <v>6</v>
      </c>
      <c r="B7" s="422"/>
      <c r="C7" s="1" t="s">
        <v>7</v>
      </c>
    </row>
    <row r="8" spans="1:6" x14ac:dyDescent="0.35">
      <c r="A8" s="422" t="s">
        <v>8</v>
      </c>
      <c r="B8" s="422"/>
      <c r="C8" s="1" t="s">
        <v>3439</v>
      </c>
    </row>
    <row r="11" spans="1:6" ht="21" x14ac:dyDescent="0.5">
      <c r="B11" s="152" t="s">
        <v>9</v>
      </c>
    </row>
    <row r="13" spans="1:6" s="129" customFormat="1" ht="19.5" customHeight="1" x14ac:dyDescent="0.35">
      <c r="A13" s="22" t="s">
        <v>3449</v>
      </c>
      <c r="B13" s="22" t="s">
        <v>10</v>
      </c>
      <c r="C13" s="247" t="s">
        <v>11</v>
      </c>
      <c r="D13" s="22" t="s">
        <v>12</v>
      </c>
      <c r="E13" s="247" t="s">
        <v>2</v>
      </c>
    </row>
    <row r="14" spans="1:6" ht="16" x14ac:dyDescent="0.4">
      <c r="A14" s="413" t="s">
        <v>3446</v>
      </c>
      <c r="B14" s="156" t="s">
        <v>3445</v>
      </c>
      <c r="C14" s="300" t="s">
        <v>3450</v>
      </c>
      <c r="D14" s="23" t="s">
        <v>3451</v>
      </c>
      <c r="E14" s="132" t="s">
        <v>3290</v>
      </c>
    </row>
    <row r="15" spans="1:6" ht="16" x14ac:dyDescent="0.4">
      <c r="A15" s="414"/>
      <c r="B15" s="156" t="s">
        <v>13</v>
      </c>
      <c r="C15" s="157" t="s">
        <v>3238</v>
      </c>
      <c r="D15" s="61" t="s">
        <v>14</v>
      </c>
      <c r="E15" s="41" t="s">
        <v>3285</v>
      </c>
    </row>
    <row r="16" spans="1:6" ht="16" x14ac:dyDescent="0.4">
      <c r="A16" s="415"/>
      <c r="B16" s="156" t="s">
        <v>15</v>
      </c>
      <c r="C16" s="157" t="s">
        <v>3440</v>
      </c>
      <c r="D16" s="61">
        <v>5</v>
      </c>
      <c r="E16" s="41" t="s">
        <v>28</v>
      </c>
      <c r="F16" s="151"/>
    </row>
    <row r="17" spans="1:6" ht="16" x14ac:dyDescent="0.4">
      <c r="A17" s="413" t="s">
        <v>3447</v>
      </c>
      <c r="B17" s="156" t="s">
        <v>16</v>
      </c>
      <c r="C17" s="157" t="s">
        <v>3441</v>
      </c>
      <c r="D17" s="61" t="s">
        <v>3237</v>
      </c>
      <c r="E17" s="41" t="s">
        <v>3291</v>
      </c>
      <c r="F17" s="151"/>
    </row>
    <row r="18" spans="1:6" ht="16" x14ac:dyDescent="0.4">
      <c r="A18" s="415"/>
      <c r="B18" s="156" t="s">
        <v>17</v>
      </c>
      <c r="C18" s="157" t="s">
        <v>3236</v>
      </c>
      <c r="D18" s="61">
        <v>9</v>
      </c>
      <c r="E18" s="41" t="s">
        <v>3243</v>
      </c>
    </row>
    <row r="19" spans="1:6" ht="16" x14ac:dyDescent="0.4">
      <c r="A19" s="416" t="s">
        <v>3448</v>
      </c>
      <c r="B19" s="156" t="s">
        <v>18</v>
      </c>
      <c r="C19" s="157" t="s">
        <v>19</v>
      </c>
      <c r="D19" s="61">
        <v>10</v>
      </c>
      <c r="E19" s="41" t="s">
        <v>19</v>
      </c>
    </row>
    <row r="20" spans="1:6" ht="16" x14ac:dyDescent="0.4">
      <c r="A20" s="417"/>
      <c r="B20" s="156" t="s">
        <v>20</v>
      </c>
      <c r="C20" s="157" t="s">
        <v>21</v>
      </c>
      <c r="D20" s="61" t="s">
        <v>3451</v>
      </c>
      <c r="E20" s="41" t="s">
        <v>3290</v>
      </c>
    </row>
    <row r="23" spans="1:6" ht="21" x14ac:dyDescent="0.5">
      <c r="A23" s="228" t="s">
        <v>34</v>
      </c>
      <c r="B23" s="155" t="s">
        <v>22</v>
      </c>
    </row>
    <row r="25" spans="1:6" x14ac:dyDescent="0.35">
      <c r="A25" s="281">
        <v>2</v>
      </c>
      <c r="B25" s="277" t="s">
        <v>23</v>
      </c>
      <c r="C25" t="s">
        <v>3292</v>
      </c>
    </row>
    <row r="26" spans="1:6" x14ac:dyDescent="0.35">
      <c r="A26" s="281">
        <v>3</v>
      </c>
      <c r="B26" s="277" t="s">
        <v>24</v>
      </c>
      <c r="C26" t="s">
        <v>25</v>
      </c>
    </row>
    <row r="27" spans="1:6" x14ac:dyDescent="0.35">
      <c r="A27" s="281">
        <v>4</v>
      </c>
      <c r="B27" s="277" t="s">
        <v>26</v>
      </c>
      <c r="C27" t="s">
        <v>27</v>
      </c>
    </row>
    <row r="28" spans="1:6" x14ac:dyDescent="0.35">
      <c r="A28" s="282">
        <v>5</v>
      </c>
      <c r="B28" s="278" t="s">
        <v>28</v>
      </c>
      <c r="C28" t="s">
        <v>29</v>
      </c>
    </row>
    <row r="29" spans="1:6" x14ac:dyDescent="0.35">
      <c r="A29" s="283">
        <v>6</v>
      </c>
      <c r="B29" s="279" t="s">
        <v>3220</v>
      </c>
      <c r="C29" t="s">
        <v>3293</v>
      </c>
    </row>
    <row r="30" spans="1:6" x14ac:dyDescent="0.35">
      <c r="A30" s="283">
        <v>7</v>
      </c>
      <c r="B30" s="279" t="s">
        <v>3239</v>
      </c>
      <c r="C30" t="s">
        <v>3240</v>
      </c>
    </row>
    <row r="31" spans="1:6" x14ac:dyDescent="0.35">
      <c r="A31" s="283">
        <v>8</v>
      </c>
      <c r="B31" s="279" t="s">
        <v>3241</v>
      </c>
      <c r="C31" t="s">
        <v>3242</v>
      </c>
    </row>
    <row r="32" spans="1:6" x14ac:dyDescent="0.35">
      <c r="A32" s="284">
        <v>9</v>
      </c>
      <c r="B32" s="280" t="s">
        <v>3243</v>
      </c>
      <c r="C32" t="s">
        <v>3294</v>
      </c>
    </row>
    <row r="33" spans="1:3" x14ac:dyDescent="0.35">
      <c r="A33" s="284">
        <v>10</v>
      </c>
      <c r="B33" s="280" t="s">
        <v>19</v>
      </c>
      <c r="C33" t="s">
        <v>3295</v>
      </c>
    </row>
    <row r="34" spans="1:3" x14ac:dyDescent="0.35">
      <c r="A34" s="333">
        <v>11</v>
      </c>
      <c r="B34" s="334" t="s">
        <v>3379</v>
      </c>
      <c r="C34" t="s">
        <v>3380</v>
      </c>
    </row>
  </sheetData>
  <mergeCells count="11">
    <mergeCell ref="A14:A16"/>
    <mergeCell ref="A17:A18"/>
    <mergeCell ref="A19:A20"/>
    <mergeCell ref="A1:B1"/>
    <mergeCell ref="A2:B2"/>
    <mergeCell ref="A3:B3"/>
    <mergeCell ref="A4:B4"/>
    <mergeCell ref="A8:B8"/>
    <mergeCell ref="A5:B5"/>
    <mergeCell ref="A6:B6"/>
    <mergeCell ref="A7:B7"/>
  </mergeCells>
  <phoneticPr fontId="37" type="noConversion"/>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BFBD-F92C-4901-BA60-E213D0B90D22}">
  <sheetPr>
    <tabColor theme="8" tint="0.79998168889431442"/>
  </sheetPr>
  <dimension ref="A1:T74"/>
  <sheetViews>
    <sheetView tabSelected="1" zoomScale="77" zoomScaleNormal="68" workbookViewId="0">
      <selection activeCell="M41" sqref="M41"/>
    </sheetView>
  </sheetViews>
  <sheetFormatPr defaultRowHeight="14.5" x14ac:dyDescent="0.35"/>
  <cols>
    <col min="2" max="2" width="39" bestFit="1" customWidth="1"/>
    <col min="3" max="3" width="55.54296875" bestFit="1" customWidth="1"/>
    <col min="4" max="14" width="15.54296875" customWidth="1"/>
    <col min="15" max="15" width="17.1796875" customWidth="1"/>
    <col min="16" max="17" width="15.453125" customWidth="1"/>
    <col min="18" max="18" width="13.26953125" customWidth="1"/>
    <col min="19" max="19" width="12.54296875" customWidth="1"/>
    <col min="20" max="20" width="59.1796875" bestFit="1" customWidth="1"/>
    <col min="21" max="21" width="30.1796875" customWidth="1"/>
    <col min="22" max="22" width="25.81640625" customWidth="1"/>
    <col min="23" max="23" width="26" customWidth="1"/>
  </cols>
  <sheetData>
    <row r="1" spans="1:20" ht="48.65" customHeight="1" thickBot="1" x14ac:dyDescent="0.5">
      <c r="A1" s="477" t="s">
        <v>3378</v>
      </c>
      <c r="B1" s="478"/>
      <c r="C1" s="478"/>
      <c r="D1" s="478"/>
      <c r="E1" s="478"/>
      <c r="F1" s="478"/>
      <c r="G1" s="478"/>
      <c r="H1" s="478"/>
      <c r="I1" s="478"/>
      <c r="J1" s="478"/>
      <c r="K1" s="478"/>
      <c r="L1" s="478"/>
      <c r="M1" s="478"/>
      <c r="N1" s="566"/>
      <c r="R1" s="331"/>
      <c r="S1" s="331"/>
    </row>
    <row r="2" spans="1:20" ht="14.5" customHeight="1" x14ac:dyDescent="0.45">
      <c r="A2" s="561" t="s">
        <v>34</v>
      </c>
      <c r="B2" s="562" t="s">
        <v>3165</v>
      </c>
      <c r="C2" s="562" t="s">
        <v>3166</v>
      </c>
      <c r="D2" s="312">
        <v>1</v>
      </c>
      <c r="E2" s="249">
        <v>2</v>
      </c>
      <c r="F2" s="22">
        <v>3</v>
      </c>
      <c r="G2" s="312">
        <v>4</v>
      </c>
      <c r="H2" s="249">
        <v>5</v>
      </c>
      <c r="I2" s="312">
        <v>6</v>
      </c>
      <c r="J2" s="250">
        <v>7</v>
      </c>
      <c r="K2" s="312">
        <v>8</v>
      </c>
      <c r="L2" s="250">
        <v>9</v>
      </c>
      <c r="M2" s="249">
        <v>10</v>
      </c>
      <c r="N2" s="569" t="s">
        <v>3325</v>
      </c>
      <c r="O2" s="565" t="s">
        <v>3313</v>
      </c>
      <c r="P2" s="565" t="s">
        <v>3314</v>
      </c>
      <c r="Q2" s="315"/>
      <c r="R2" s="331"/>
      <c r="S2" s="331"/>
    </row>
    <row r="3" spans="1:20" ht="29" x14ac:dyDescent="0.45">
      <c r="A3" s="554"/>
      <c r="B3" s="556"/>
      <c r="C3" s="556"/>
      <c r="D3" s="169" t="s">
        <v>3315</v>
      </c>
      <c r="E3" s="329" t="s">
        <v>3316</v>
      </c>
      <c r="F3" s="169" t="s">
        <v>3317</v>
      </c>
      <c r="G3" s="169" t="s">
        <v>3318</v>
      </c>
      <c r="H3" s="329" t="s">
        <v>3319</v>
      </c>
      <c r="I3" s="169" t="s">
        <v>3320</v>
      </c>
      <c r="J3" s="329" t="s">
        <v>3321</v>
      </c>
      <c r="K3" s="169" t="s">
        <v>3322</v>
      </c>
      <c r="L3" s="329" t="s">
        <v>3323</v>
      </c>
      <c r="M3" s="328" t="s">
        <v>3324</v>
      </c>
      <c r="N3" s="570"/>
      <c r="O3" s="565"/>
      <c r="P3" s="565"/>
      <c r="Q3" s="161"/>
      <c r="S3" s="567" t="s">
        <v>3311</v>
      </c>
      <c r="T3" s="568"/>
    </row>
    <row r="4" spans="1:20" ht="18" customHeight="1" x14ac:dyDescent="0.35">
      <c r="A4" s="203">
        <f>_xlfn.XLOOKUP(B4, 'Open Source Tools'!$E$3:$E$206, 'Open Source Tools'!$A$3:$A$206, "Not found")</f>
        <v>96</v>
      </c>
      <c r="B4" s="9" t="s">
        <v>3281</v>
      </c>
      <c r="C4" s="232" t="str">
        <f>VLOOKUP($B4,'Heat Map'!$B$4:$D$33, 3,FALSE)</f>
        <v>Community Energy Management Systems (CEMS)</v>
      </c>
      <c r="D4" s="302">
        <v>2</v>
      </c>
      <c r="E4" s="3">
        <v>2</v>
      </c>
      <c r="F4" s="302">
        <v>2</v>
      </c>
      <c r="G4" s="302">
        <v>0</v>
      </c>
      <c r="H4" s="3">
        <v>0</v>
      </c>
      <c r="I4" s="302">
        <v>0</v>
      </c>
      <c r="J4" s="3">
        <v>2</v>
      </c>
      <c r="K4" s="302">
        <v>2</v>
      </c>
      <c r="L4" s="3">
        <v>2</v>
      </c>
      <c r="M4" s="304">
        <v>2</v>
      </c>
      <c r="N4" s="361">
        <f t="shared" ref="N4:N33" si="0">SUM(D4:M4)</f>
        <v>14</v>
      </c>
      <c r="O4" s="162" t="s">
        <v>1692</v>
      </c>
      <c r="P4" s="161" t="s">
        <v>1693</v>
      </c>
      <c r="Q4" s="164"/>
      <c r="S4" s="96">
        <v>0</v>
      </c>
      <c r="T4" s="320" t="s">
        <v>3372</v>
      </c>
    </row>
    <row r="5" spans="1:20" ht="18" customHeight="1" x14ac:dyDescent="0.35">
      <c r="A5" s="203">
        <f>_xlfn.XLOOKUP(B5, 'Open Source Tools'!$E$3:$E$206, 'Open Source Tools'!$A$3:$A$206, "Not found")</f>
        <v>107</v>
      </c>
      <c r="B5" s="9" t="s">
        <v>1845</v>
      </c>
      <c r="C5" s="232" t="str">
        <f>VLOOKUP($B5,'Heat Map'!$B$4:$D$33, 3,FALSE)</f>
        <v>Home Energy Management Systems (HEMS)</v>
      </c>
      <c r="D5" s="302">
        <v>2</v>
      </c>
      <c r="E5" s="3">
        <v>2</v>
      </c>
      <c r="F5" s="302">
        <v>0</v>
      </c>
      <c r="G5" s="302">
        <v>0</v>
      </c>
      <c r="H5" s="3">
        <v>1</v>
      </c>
      <c r="I5" s="302">
        <v>0</v>
      </c>
      <c r="J5" s="3">
        <v>2</v>
      </c>
      <c r="K5" s="302">
        <v>1</v>
      </c>
      <c r="L5" s="3">
        <v>2</v>
      </c>
      <c r="M5" s="304">
        <v>2</v>
      </c>
      <c r="N5" s="361">
        <f t="shared" si="0"/>
        <v>12</v>
      </c>
      <c r="O5" s="164" t="s">
        <v>1856</v>
      </c>
      <c r="P5" s="164" t="s">
        <v>1857</v>
      </c>
      <c r="Q5" s="316"/>
      <c r="S5" s="22">
        <v>1</v>
      </c>
      <c r="T5" s="320" t="s">
        <v>3373</v>
      </c>
    </row>
    <row r="6" spans="1:20" ht="18" customHeight="1" x14ac:dyDescent="0.4">
      <c r="A6" s="203">
        <f>_xlfn.XLOOKUP(B6, 'Open Source Tools'!$E$3:$E$206, 'Open Source Tools'!$A$3:$A$206, "Not found")</f>
        <v>114</v>
      </c>
      <c r="B6" s="151" t="s">
        <v>1961</v>
      </c>
      <c r="C6" s="232" t="str">
        <f>VLOOKUP($B6,'Heat Map'!$B$4:$D$33, 3,FALSE)</f>
        <v>Demand Response Systems</v>
      </c>
      <c r="D6" s="302">
        <v>0</v>
      </c>
      <c r="E6" s="3">
        <v>2</v>
      </c>
      <c r="F6" s="302">
        <v>2</v>
      </c>
      <c r="G6" s="302">
        <v>0</v>
      </c>
      <c r="H6" s="3">
        <v>0</v>
      </c>
      <c r="I6" s="302">
        <v>0</v>
      </c>
      <c r="J6" s="3">
        <v>2</v>
      </c>
      <c r="K6" s="302">
        <v>0</v>
      </c>
      <c r="L6" s="3">
        <v>0</v>
      </c>
      <c r="M6" s="304">
        <v>2</v>
      </c>
      <c r="N6" s="361">
        <f t="shared" si="0"/>
        <v>8</v>
      </c>
      <c r="O6" s="164" t="s">
        <v>1972</v>
      </c>
      <c r="P6" s="316" t="s">
        <v>1973</v>
      </c>
      <c r="Q6" s="316"/>
      <c r="S6" s="332">
        <v>2</v>
      </c>
      <c r="T6" s="320" t="s">
        <v>3374</v>
      </c>
    </row>
    <row r="7" spans="1:20" ht="18" customHeight="1" x14ac:dyDescent="0.35">
      <c r="A7" s="203">
        <f>_xlfn.XLOOKUP(B7, 'Open Source Tools'!$E$3:$E$206, 'Open Source Tools'!$A$3:$A$206, "Not found")</f>
        <v>127</v>
      </c>
      <c r="B7" s="9" t="s">
        <v>2148</v>
      </c>
      <c r="C7" s="232" t="str">
        <f>VLOOKUP($B7,'Heat Map'!$B$4:$D$33, 3,FALSE)</f>
        <v>Real-Time Energy Monitoring Platforms</v>
      </c>
      <c r="D7" s="302">
        <v>2</v>
      </c>
      <c r="E7" s="3">
        <v>2</v>
      </c>
      <c r="F7" s="302">
        <v>0</v>
      </c>
      <c r="G7" s="302">
        <v>0</v>
      </c>
      <c r="H7" s="3">
        <v>0</v>
      </c>
      <c r="I7" s="302">
        <v>0</v>
      </c>
      <c r="J7" s="3">
        <v>2</v>
      </c>
      <c r="K7" s="302">
        <v>0</v>
      </c>
      <c r="L7" s="3">
        <v>0</v>
      </c>
      <c r="M7" s="304">
        <v>0</v>
      </c>
      <c r="N7" s="361">
        <f t="shared" si="0"/>
        <v>6</v>
      </c>
      <c r="O7" s="163" t="s">
        <v>2160</v>
      </c>
      <c r="P7" s="316" t="s">
        <v>2161</v>
      </c>
      <c r="Q7" s="316"/>
    </row>
    <row r="8" spans="1:20" ht="18" customHeight="1" x14ac:dyDescent="0.35">
      <c r="A8" s="203">
        <f>_xlfn.XLOOKUP(B8, 'Open Source Tools'!$E$3:$E$206, 'Open Source Tools'!$A$3:$A$206, "Not found")</f>
        <v>137</v>
      </c>
      <c r="B8" s="9" t="s">
        <v>2284</v>
      </c>
      <c r="C8" s="232" t="str">
        <f>VLOOKUP($B8,'Heat Map'!$B$4:$D$33, 3,FALSE)</f>
        <v>Energy Analytics Platforms</v>
      </c>
      <c r="D8" s="302">
        <v>0</v>
      </c>
      <c r="E8" s="3">
        <v>2</v>
      </c>
      <c r="F8" s="302">
        <v>0</v>
      </c>
      <c r="G8" s="302">
        <v>0</v>
      </c>
      <c r="H8" s="3">
        <v>0</v>
      </c>
      <c r="I8" s="302">
        <v>0</v>
      </c>
      <c r="J8" s="3">
        <v>2</v>
      </c>
      <c r="K8" s="302">
        <v>1</v>
      </c>
      <c r="L8" s="3">
        <v>0</v>
      </c>
      <c r="M8" s="304">
        <v>0</v>
      </c>
      <c r="N8" s="361">
        <f t="shared" si="0"/>
        <v>5</v>
      </c>
      <c r="O8" s="164" t="s">
        <v>2294</v>
      </c>
      <c r="P8" s="316" t="s">
        <v>2295</v>
      </c>
      <c r="Q8" s="164"/>
    </row>
    <row r="9" spans="1:20" ht="18" customHeight="1" x14ac:dyDescent="0.35">
      <c r="A9" s="203">
        <f>_xlfn.XLOOKUP(B9, 'Open Source Tools'!$E$3:$E$206, 'Open Source Tools'!$A$3:$A$206, "Not found")</f>
        <v>142</v>
      </c>
      <c r="B9" s="9" t="s">
        <v>2348</v>
      </c>
      <c r="C9" s="232" t="str">
        <f>VLOOKUP($B9,'Heat Map'!$B$4:$D$33, 3,FALSE)</f>
        <v>DSO level modelling</v>
      </c>
      <c r="D9" s="302">
        <v>2</v>
      </c>
      <c r="E9" s="3">
        <v>2</v>
      </c>
      <c r="F9" s="302">
        <v>0</v>
      </c>
      <c r="G9" s="302">
        <v>2</v>
      </c>
      <c r="H9" s="3">
        <v>0</v>
      </c>
      <c r="I9" s="302">
        <v>0</v>
      </c>
      <c r="J9" s="3">
        <v>2</v>
      </c>
      <c r="K9" s="302">
        <v>1</v>
      </c>
      <c r="L9" s="3">
        <v>2</v>
      </c>
      <c r="M9" s="304">
        <v>2</v>
      </c>
      <c r="N9" s="361">
        <f t="shared" si="0"/>
        <v>13</v>
      </c>
      <c r="O9" s="164" t="s">
        <v>2360</v>
      </c>
      <c r="P9" s="164" t="s">
        <v>2361</v>
      </c>
      <c r="Q9" s="161"/>
    </row>
    <row r="10" spans="1:20" ht="18" customHeight="1" x14ac:dyDescent="0.35">
      <c r="A10" s="203">
        <f>_xlfn.XLOOKUP(B10, 'Open Source Tools'!$E$3:$E$206, 'Open Source Tools'!$A$3:$A$206, "Not found")</f>
        <v>99</v>
      </c>
      <c r="B10" s="9" t="s">
        <v>1725</v>
      </c>
      <c r="C10" s="232" t="str">
        <f>VLOOKUP($B10,'Heat Map'!$B$4:$D$33, 3,FALSE)</f>
        <v>Community level Modelling</v>
      </c>
      <c r="D10" s="302">
        <v>0</v>
      </c>
      <c r="E10" s="3">
        <v>2</v>
      </c>
      <c r="F10" s="302">
        <v>0</v>
      </c>
      <c r="G10" s="302">
        <v>0</v>
      </c>
      <c r="H10" s="3">
        <v>0</v>
      </c>
      <c r="I10" s="302">
        <v>0</v>
      </c>
      <c r="J10" s="3">
        <v>2</v>
      </c>
      <c r="K10" s="302">
        <v>2</v>
      </c>
      <c r="L10" s="3">
        <v>1</v>
      </c>
      <c r="M10" s="304">
        <v>2</v>
      </c>
      <c r="N10" s="361">
        <f t="shared" si="0"/>
        <v>9</v>
      </c>
      <c r="O10" s="161" t="s">
        <v>1735</v>
      </c>
      <c r="P10" s="161" t="s">
        <v>1736</v>
      </c>
      <c r="Q10" s="316"/>
    </row>
    <row r="11" spans="1:20" ht="18" customHeight="1" x14ac:dyDescent="0.35">
      <c r="A11" s="203">
        <f>_xlfn.XLOOKUP(B11, 'Open Source Tools'!$E$3:$E$206, 'Open Source Tools'!$A$3:$A$206, "Not found")</f>
        <v>159</v>
      </c>
      <c r="B11" s="9" t="s">
        <v>2578</v>
      </c>
      <c r="C11" s="232" t="str">
        <f>VLOOKUP($B11,'Heat Map'!$B$4:$D$33, 3,FALSE)</f>
        <v>Individual Unit modelling</v>
      </c>
      <c r="D11" s="302">
        <v>0</v>
      </c>
      <c r="E11" s="3">
        <v>0</v>
      </c>
      <c r="F11" s="302">
        <v>1</v>
      </c>
      <c r="G11" s="302">
        <v>0</v>
      </c>
      <c r="H11" s="3">
        <v>0</v>
      </c>
      <c r="I11" s="302">
        <v>0</v>
      </c>
      <c r="J11" s="3">
        <v>2</v>
      </c>
      <c r="K11" s="302">
        <v>2</v>
      </c>
      <c r="L11" s="3">
        <v>0</v>
      </c>
      <c r="M11" s="304">
        <v>2</v>
      </c>
      <c r="N11" s="361">
        <f t="shared" si="0"/>
        <v>7</v>
      </c>
      <c r="O11" s="163" t="s">
        <v>2588</v>
      </c>
      <c r="P11" s="316" t="s">
        <v>3159</v>
      </c>
      <c r="Q11" s="316"/>
    </row>
    <row r="12" spans="1:20" ht="18" customHeight="1" x14ac:dyDescent="0.35">
      <c r="A12" s="203">
        <f>_xlfn.XLOOKUP(B12, 'Open Source Tools'!$E$3:$E$206, 'Open Source Tools'!$A$3:$A$206, "Not found")</f>
        <v>167</v>
      </c>
      <c r="B12" s="9" t="s">
        <v>2679</v>
      </c>
      <c r="C12" s="232" t="str">
        <f>VLOOKUP($B12,'Heat Map'!$B$4:$D$33, 3,FALSE)</f>
        <v>Energy System Simulation Tools (e.g., HOMER, PLEXOS)</v>
      </c>
      <c r="D12" s="302">
        <v>0</v>
      </c>
      <c r="E12" s="3">
        <v>1</v>
      </c>
      <c r="F12" s="302">
        <v>0</v>
      </c>
      <c r="G12" s="302">
        <v>0</v>
      </c>
      <c r="H12" s="3">
        <v>0</v>
      </c>
      <c r="I12" s="302">
        <v>0</v>
      </c>
      <c r="J12" s="3">
        <v>2</v>
      </c>
      <c r="K12" s="302">
        <v>0</v>
      </c>
      <c r="L12" s="3">
        <v>0</v>
      </c>
      <c r="M12" s="304">
        <v>2</v>
      </c>
      <c r="N12" s="361">
        <f t="shared" si="0"/>
        <v>5</v>
      </c>
      <c r="O12" s="163" t="s">
        <v>2689</v>
      </c>
      <c r="P12" s="316" t="s">
        <v>2690</v>
      </c>
      <c r="Q12" s="316"/>
    </row>
    <row r="13" spans="1:20" ht="18" customHeight="1" x14ac:dyDescent="0.35">
      <c r="A13" s="203">
        <f>_xlfn.XLOOKUP(B13, 'Open Source Tools'!$E$3:$E$206, 'Open Source Tools'!$A$3:$A$206, "Not found")</f>
        <v>174</v>
      </c>
      <c r="B13" s="9" t="s">
        <v>2764</v>
      </c>
      <c r="C13" s="232" t="str">
        <f>VLOOKUP($B13,'Heat Map'!$B$4:$D$33, 3,FALSE)</f>
        <v>Collaborative Decision-Making Platforms</v>
      </c>
      <c r="D13" s="302">
        <v>0</v>
      </c>
      <c r="E13" s="3">
        <v>2</v>
      </c>
      <c r="F13" s="302">
        <v>0</v>
      </c>
      <c r="G13" s="302">
        <v>0</v>
      </c>
      <c r="H13" s="3">
        <v>0</v>
      </c>
      <c r="I13" s="302">
        <v>0</v>
      </c>
      <c r="J13" s="3">
        <v>2</v>
      </c>
      <c r="K13" s="302">
        <v>2</v>
      </c>
      <c r="L13" s="3">
        <v>2</v>
      </c>
      <c r="M13" s="304">
        <v>2</v>
      </c>
      <c r="N13" s="361">
        <f t="shared" si="0"/>
        <v>10</v>
      </c>
      <c r="O13" s="163" t="s">
        <v>2776</v>
      </c>
      <c r="P13" s="316" t="s">
        <v>2777</v>
      </c>
      <c r="Q13" s="316"/>
    </row>
    <row r="14" spans="1:20" ht="18" customHeight="1" x14ac:dyDescent="0.35">
      <c r="A14" s="203">
        <f>_xlfn.XLOOKUP(B14, 'Open Source Tools'!$E$3:$E$206, 'Open Source Tools'!$A$3:$A$206, "Not found")</f>
        <v>182</v>
      </c>
      <c r="B14" s="9" t="s">
        <v>2861</v>
      </c>
      <c r="C14" s="232" t="str">
        <f>VLOOKUP($B14,'Heat Map'!$B$4:$D$33, 3,FALSE)</f>
        <v>Automated Billing Platforms (Dynamic pricing Billing systems)</v>
      </c>
      <c r="D14" s="302">
        <v>0</v>
      </c>
      <c r="E14" s="3">
        <v>2</v>
      </c>
      <c r="F14" s="302">
        <v>0</v>
      </c>
      <c r="G14" s="302">
        <v>0</v>
      </c>
      <c r="H14" s="3">
        <v>0</v>
      </c>
      <c r="I14" s="302">
        <v>0</v>
      </c>
      <c r="J14" s="3">
        <v>2</v>
      </c>
      <c r="K14" s="302">
        <v>2</v>
      </c>
      <c r="L14" s="3">
        <v>1</v>
      </c>
      <c r="M14" s="304">
        <v>2</v>
      </c>
      <c r="N14" s="361">
        <f t="shared" si="0"/>
        <v>9</v>
      </c>
      <c r="O14" s="163" t="s">
        <v>2871</v>
      </c>
      <c r="P14" s="316" t="s">
        <v>2872</v>
      </c>
      <c r="Q14" s="161"/>
    </row>
    <row r="15" spans="1:20" ht="18" customHeight="1" x14ac:dyDescent="0.35">
      <c r="A15" s="203">
        <f>_xlfn.XLOOKUP(B15, 'Open Source Tools'!$E$3:$E$206, 'Open Source Tools'!$A$3:$A$206, "Not found")</f>
        <v>47</v>
      </c>
      <c r="B15" s="9" t="s">
        <v>1101</v>
      </c>
      <c r="C15" s="232" t="str">
        <f>VLOOKUP($B15,'Heat Map'!$B$4:$D$33, 3,FALSE)</f>
        <v>AI-Powered Energy Forecasting</v>
      </c>
      <c r="D15" s="302">
        <v>0</v>
      </c>
      <c r="E15" s="3">
        <v>2</v>
      </c>
      <c r="F15" s="302">
        <v>0</v>
      </c>
      <c r="G15" s="302">
        <v>0</v>
      </c>
      <c r="H15" s="3">
        <v>0</v>
      </c>
      <c r="I15" s="302">
        <v>0</v>
      </c>
      <c r="J15" s="3">
        <v>2</v>
      </c>
      <c r="K15" s="302">
        <v>2</v>
      </c>
      <c r="L15" s="3">
        <v>2</v>
      </c>
      <c r="M15" s="304">
        <v>2</v>
      </c>
      <c r="N15" s="361">
        <f t="shared" ref="N15:N23" si="1">SUM(D15:M15)</f>
        <v>10</v>
      </c>
      <c r="O15" s="164" t="s">
        <v>1114</v>
      </c>
      <c r="P15" s="164" t="s">
        <v>1115</v>
      </c>
      <c r="Q15" s="164"/>
    </row>
    <row r="16" spans="1:20" ht="18" customHeight="1" x14ac:dyDescent="0.35">
      <c r="A16" s="203">
        <f>_xlfn.XLOOKUP(B16, 'Open Source Tools'!$E$3:$E$206, 'Open Source Tools'!$A$3:$A$206, "Not found")</f>
        <v>53</v>
      </c>
      <c r="B16" s="9" t="s">
        <v>1177</v>
      </c>
      <c r="C16" s="232" t="str">
        <f>VLOOKUP($B16,'Heat Map'!$B$4:$D$33, 3,FALSE)</f>
        <v>Machine Learning Algorithms</v>
      </c>
      <c r="D16" s="302">
        <v>0</v>
      </c>
      <c r="E16" s="3">
        <v>2</v>
      </c>
      <c r="F16" s="302">
        <v>0</v>
      </c>
      <c r="G16" s="302">
        <v>0</v>
      </c>
      <c r="H16" s="3">
        <v>0</v>
      </c>
      <c r="I16" s="302">
        <v>0</v>
      </c>
      <c r="J16" s="3">
        <v>2</v>
      </c>
      <c r="K16" s="302">
        <v>2</v>
      </c>
      <c r="L16" s="3">
        <v>2</v>
      </c>
      <c r="M16" s="304">
        <v>2</v>
      </c>
      <c r="N16" s="361">
        <f t="shared" si="1"/>
        <v>10</v>
      </c>
      <c r="O16" s="164" t="s">
        <v>1187</v>
      </c>
      <c r="P16" s="164" t="s">
        <v>1188</v>
      </c>
      <c r="Q16" s="164"/>
    </row>
    <row r="17" spans="1:17" ht="18" customHeight="1" x14ac:dyDescent="0.35">
      <c r="A17" s="203">
        <f>_xlfn.XLOOKUP(B17, 'Open Source Tools'!$E$3:$E$206, 'Open Source Tools'!$A$3:$A$206, "Not found")</f>
        <v>57</v>
      </c>
      <c r="B17" s="9" t="s">
        <v>1221</v>
      </c>
      <c r="C17" s="232" t="str">
        <f>VLOOKUP($B17,'Heat Map'!$B$4:$D$33, 3,FALSE)</f>
        <v>AI-Driven Energy Optimization</v>
      </c>
      <c r="D17" s="302">
        <v>0</v>
      </c>
      <c r="E17" s="3">
        <v>2</v>
      </c>
      <c r="F17" s="302">
        <v>0</v>
      </c>
      <c r="G17" s="302">
        <v>0</v>
      </c>
      <c r="H17" s="3">
        <v>0</v>
      </c>
      <c r="I17" s="302">
        <v>0</v>
      </c>
      <c r="J17" s="3">
        <v>2</v>
      </c>
      <c r="K17" s="302">
        <v>0</v>
      </c>
      <c r="L17" s="3">
        <v>0</v>
      </c>
      <c r="M17" s="304">
        <v>1</v>
      </c>
      <c r="N17" s="361">
        <f t="shared" si="1"/>
        <v>5</v>
      </c>
      <c r="O17" s="161" t="s">
        <v>1232</v>
      </c>
      <c r="P17" s="161" t="s">
        <v>1233</v>
      </c>
      <c r="Q17" s="164"/>
    </row>
    <row r="18" spans="1:17" ht="18" customHeight="1" x14ac:dyDescent="0.35">
      <c r="A18" s="203">
        <f>_xlfn.XLOOKUP(B18, 'Open Source Tools'!$E$3:$E$206, 'Open Source Tools'!$A$3:$A$206, "Not found")</f>
        <v>61</v>
      </c>
      <c r="B18" s="9" t="s">
        <v>1266</v>
      </c>
      <c r="C18" s="232" t="str">
        <f>VLOOKUP($B18,'Heat Map'!$B$4:$D$33, 3,FALSE)</f>
        <v>Anomaly Detection in Energy Systems</v>
      </c>
      <c r="D18" s="302">
        <v>2</v>
      </c>
      <c r="E18" s="3">
        <v>2</v>
      </c>
      <c r="F18" s="302">
        <v>0</v>
      </c>
      <c r="G18" s="302">
        <v>0</v>
      </c>
      <c r="H18" s="3">
        <v>0</v>
      </c>
      <c r="I18" s="302">
        <v>0</v>
      </c>
      <c r="J18" s="3">
        <v>2</v>
      </c>
      <c r="K18" s="302">
        <v>1</v>
      </c>
      <c r="L18" s="3">
        <v>1</v>
      </c>
      <c r="M18" s="304">
        <v>2</v>
      </c>
      <c r="N18" s="361">
        <f t="shared" si="1"/>
        <v>10</v>
      </c>
      <c r="O18" s="161" t="s">
        <v>1275</v>
      </c>
      <c r="P18" s="161"/>
      <c r="Q18" s="161"/>
    </row>
    <row r="19" spans="1:17" ht="18" customHeight="1" x14ac:dyDescent="0.35">
      <c r="A19" s="203">
        <f>_xlfn.XLOOKUP(B19, 'Open Source Tools'!$E$3:$E$206, 'Open Source Tools'!$A$3:$A$206, "Not found")</f>
        <v>62</v>
      </c>
      <c r="B19" s="9" t="s">
        <v>1276</v>
      </c>
      <c r="C19" s="232" t="str">
        <f>VLOOKUP($B19,'Heat Map'!$B$4:$D$33, 3,FALSE)</f>
        <v>AI for Predictive Maintenance</v>
      </c>
      <c r="D19" s="302">
        <v>1</v>
      </c>
      <c r="E19" s="3">
        <v>2</v>
      </c>
      <c r="F19" s="302">
        <v>0</v>
      </c>
      <c r="G19" s="302">
        <v>0</v>
      </c>
      <c r="H19" s="3">
        <v>0</v>
      </c>
      <c r="I19" s="302">
        <v>0</v>
      </c>
      <c r="J19" s="3">
        <v>2</v>
      </c>
      <c r="K19" s="302">
        <v>2</v>
      </c>
      <c r="L19" s="3">
        <v>2</v>
      </c>
      <c r="M19" s="304">
        <v>2</v>
      </c>
      <c r="N19" s="361">
        <f t="shared" si="1"/>
        <v>11</v>
      </c>
      <c r="O19" s="161" t="s">
        <v>1289</v>
      </c>
      <c r="P19" s="161" t="s">
        <v>1290</v>
      </c>
      <c r="Q19" s="161"/>
    </row>
    <row r="20" spans="1:17" ht="18" customHeight="1" x14ac:dyDescent="0.35">
      <c r="A20" s="203">
        <f>_xlfn.XLOOKUP(B20, 'Open Source Tools'!$E$3:$E$206, 'Open Source Tools'!$A$3:$A$206, "Not found")</f>
        <v>73</v>
      </c>
      <c r="B20" s="9" t="s">
        <v>1411</v>
      </c>
      <c r="C20" s="232" t="str">
        <f>VLOOKUP($B20,'Heat Map'!$B$4:$D$33, 3,FALSE)</f>
        <v>Energy Dashboards</v>
      </c>
      <c r="D20" s="302">
        <v>2</v>
      </c>
      <c r="E20" s="3">
        <v>2</v>
      </c>
      <c r="F20" s="302">
        <v>1</v>
      </c>
      <c r="G20" s="302">
        <v>0</v>
      </c>
      <c r="H20" s="3">
        <v>0</v>
      </c>
      <c r="I20" s="302">
        <v>0</v>
      </c>
      <c r="J20" s="3">
        <v>2</v>
      </c>
      <c r="K20" s="302">
        <v>2</v>
      </c>
      <c r="L20" s="3">
        <v>2</v>
      </c>
      <c r="M20" s="304">
        <v>2</v>
      </c>
      <c r="N20" s="361">
        <f t="shared" si="1"/>
        <v>13</v>
      </c>
      <c r="O20" s="164" t="s">
        <v>1421</v>
      </c>
      <c r="P20" s="164" t="s">
        <v>1422</v>
      </c>
      <c r="Q20" s="164"/>
    </row>
    <row r="21" spans="1:17" ht="18" customHeight="1" x14ac:dyDescent="0.35">
      <c r="A21" s="203">
        <f>_xlfn.XLOOKUP(B21, 'Open Source Tools'!$E$3:$E$206, 'Open Source Tools'!$A$3:$A$206, "Not found")</f>
        <v>74</v>
      </c>
      <c r="B21" s="9" t="s">
        <v>1423</v>
      </c>
      <c r="C21" s="232" t="str">
        <f>VLOOKUP($B21,'Heat Map'!$B$4:$D$33, 3,FALSE)</f>
        <v>Data Visualization Tools</v>
      </c>
      <c r="D21" s="302">
        <v>2</v>
      </c>
      <c r="E21" s="3">
        <v>2</v>
      </c>
      <c r="F21" s="302">
        <v>0</v>
      </c>
      <c r="G21" s="302">
        <v>0</v>
      </c>
      <c r="H21" s="3">
        <v>0</v>
      </c>
      <c r="I21" s="302">
        <v>0</v>
      </c>
      <c r="J21" s="3">
        <v>2</v>
      </c>
      <c r="K21" s="302">
        <v>2</v>
      </c>
      <c r="L21" s="3">
        <v>2</v>
      </c>
      <c r="M21" s="304">
        <v>2</v>
      </c>
      <c r="N21" s="361">
        <f t="shared" si="1"/>
        <v>12</v>
      </c>
      <c r="O21" s="164" t="s">
        <v>1435</v>
      </c>
      <c r="P21" s="164" t="s">
        <v>1436</v>
      </c>
      <c r="Q21" s="164"/>
    </row>
    <row r="22" spans="1:17" ht="18" customHeight="1" x14ac:dyDescent="0.35">
      <c r="A22" s="203">
        <f>_xlfn.XLOOKUP(B22, 'Open Source Tools'!$E$3:$E$206, 'Open Source Tools'!$A$3:$A$206, "Not found")</f>
        <v>88</v>
      </c>
      <c r="B22" s="9" t="s">
        <v>1595</v>
      </c>
      <c r="C22" s="232" t="str">
        <f>VLOOKUP($B22,'Heat Map'!$B$4:$D$33, 3,FALSE)</f>
        <v>Energy Sharing Apps</v>
      </c>
      <c r="D22" s="302">
        <v>0</v>
      </c>
      <c r="E22" s="3">
        <v>1</v>
      </c>
      <c r="F22" s="302">
        <v>1</v>
      </c>
      <c r="G22" s="302">
        <v>0</v>
      </c>
      <c r="H22" s="3">
        <v>0</v>
      </c>
      <c r="I22" s="302">
        <v>0</v>
      </c>
      <c r="J22" s="3">
        <v>2</v>
      </c>
      <c r="K22" s="302">
        <v>1</v>
      </c>
      <c r="L22" s="3">
        <v>2</v>
      </c>
      <c r="M22" s="304">
        <v>2</v>
      </c>
      <c r="N22" s="361">
        <f t="shared" si="1"/>
        <v>9</v>
      </c>
      <c r="O22" s="164" t="s">
        <v>1604</v>
      </c>
      <c r="P22" s="164" t="s">
        <v>1605</v>
      </c>
      <c r="Q22" s="161"/>
    </row>
    <row r="23" spans="1:17" ht="18" customHeight="1" x14ac:dyDescent="0.35">
      <c r="A23" s="203">
        <f>_xlfn.XLOOKUP(B23, 'Open Source Tools'!$E$3:$E$206, 'Open Source Tools'!$A$3:$A$206, "Not found")</f>
        <v>91</v>
      </c>
      <c r="B23" s="9" t="s">
        <v>1626</v>
      </c>
      <c r="C23" s="232" t="str">
        <f>VLOOKUP($B23,'Heat Map'!$B$4:$D$33, 3,FALSE)</f>
        <v>Energy Pooling Platforms</v>
      </c>
      <c r="D23" s="302">
        <v>0</v>
      </c>
      <c r="E23" s="3">
        <v>2</v>
      </c>
      <c r="F23" s="302">
        <v>0</v>
      </c>
      <c r="G23" s="302">
        <v>0</v>
      </c>
      <c r="H23" s="3">
        <v>0</v>
      </c>
      <c r="I23" s="302">
        <v>0</v>
      </c>
      <c r="J23" s="3">
        <v>2</v>
      </c>
      <c r="K23" s="302">
        <v>0</v>
      </c>
      <c r="L23" s="3">
        <v>0</v>
      </c>
      <c r="M23" s="304">
        <v>0</v>
      </c>
      <c r="N23" s="361">
        <f t="shared" si="1"/>
        <v>4</v>
      </c>
      <c r="O23" s="161" t="s">
        <v>1633</v>
      </c>
      <c r="P23" s="161" t="s">
        <v>1634</v>
      </c>
      <c r="Q23" s="161"/>
    </row>
    <row r="24" spans="1:17" ht="18" customHeight="1" x14ac:dyDescent="0.35">
      <c r="A24" s="203">
        <f>_xlfn.XLOOKUP(B24, 'Open Source Tools'!$E$3:$E$206, 'Open Source Tools'!$A$3:$A$206, "Not found")</f>
        <v>103</v>
      </c>
      <c r="B24" s="9" t="s">
        <v>1784</v>
      </c>
      <c r="C24" s="232" t="str">
        <f>VLOOKUP($B24,'Heat Map'!$B$4:$D$33, 3,FALSE)</f>
        <v>Peer-to-Peer (P2P) Energy Trading Platforms</v>
      </c>
      <c r="D24" s="302">
        <v>2</v>
      </c>
      <c r="E24" s="3">
        <v>2</v>
      </c>
      <c r="F24" s="302">
        <v>0</v>
      </c>
      <c r="G24" s="302">
        <v>0</v>
      </c>
      <c r="H24" s="3">
        <v>0</v>
      </c>
      <c r="I24" s="302">
        <v>0</v>
      </c>
      <c r="J24" s="3">
        <v>2</v>
      </c>
      <c r="K24" s="302">
        <v>0</v>
      </c>
      <c r="L24" s="3">
        <v>2</v>
      </c>
      <c r="M24" s="304">
        <v>2</v>
      </c>
      <c r="N24" s="361">
        <f t="shared" si="0"/>
        <v>10</v>
      </c>
      <c r="O24" s="161" t="s">
        <v>3158</v>
      </c>
      <c r="P24" s="161" t="s">
        <v>1797</v>
      </c>
      <c r="Q24" s="161"/>
    </row>
    <row r="25" spans="1:17" ht="18" customHeight="1" x14ac:dyDescent="0.4">
      <c r="A25" s="203">
        <f>_xlfn.XLOOKUP(B25, 'Open Source Tools'!$E$3:$E$206, 'Open Source Tools'!$A$3:$A$206, "Not found")</f>
        <v>5</v>
      </c>
      <c r="B25" s="151" t="s">
        <v>570</v>
      </c>
      <c r="C25" s="232" t="str">
        <f>VLOOKUP($B25,'Heat Map'!$B$4:$D$33, 3,FALSE)</f>
        <v>Virtual Power Plants (VPPs)</v>
      </c>
      <c r="D25" s="302">
        <v>1</v>
      </c>
      <c r="E25" s="3">
        <v>0</v>
      </c>
      <c r="F25" s="302">
        <v>2</v>
      </c>
      <c r="G25" s="302">
        <v>0</v>
      </c>
      <c r="H25" s="3">
        <v>0</v>
      </c>
      <c r="I25" s="302">
        <v>0</v>
      </c>
      <c r="J25" s="3">
        <v>2</v>
      </c>
      <c r="K25" s="302">
        <v>2</v>
      </c>
      <c r="L25" s="3">
        <v>1</v>
      </c>
      <c r="M25" s="304">
        <v>2</v>
      </c>
      <c r="N25" s="361">
        <f t="shared" si="0"/>
        <v>10</v>
      </c>
      <c r="O25" s="164" t="s">
        <v>581</v>
      </c>
      <c r="P25" s="164" t="s">
        <v>582</v>
      </c>
      <c r="Q25" s="164"/>
    </row>
    <row r="26" spans="1:17" ht="18" customHeight="1" x14ac:dyDescent="0.35">
      <c r="A26" s="203">
        <f>_xlfn.XLOOKUP(B26, 'Open Source Tools'!$E$3:$E$206, 'Open Source Tools'!$A$3:$A$206, "Not found")</f>
        <v>10</v>
      </c>
      <c r="B26" s="9" t="s">
        <v>631</v>
      </c>
      <c r="C26" s="232" t="str">
        <f>VLOOKUP($B26,'Heat Map'!$B$4:$D$33, 3,FALSE)</f>
        <v>Energy Trading Tool</v>
      </c>
      <c r="D26" s="302">
        <v>1</v>
      </c>
      <c r="E26" s="3">
        <v>2</v>
      </c>
      <c r="F26" s="302">
        <v>1</v>
      </c>
      <c r="G26" s="302">
        <v>0</v>
      </c>
      <c r="H26" s="3">
        <v>0</v>
      </c>
      <c r="I26" s="302">
        <v>0</v>
      </c>
      <c r="J26" s="3">
        <v>2</v>
      </c>
      <c r="K26" s="302">
        <v>2</v>
      </c>
      <c r="L26" s="3">
        <v>1</v>
      </c>
      <c r="M26" s="304">
        <v>2</v>
      </c>
      <c r="N26" s="361">
        <f t="shared" si="0"/>
        <v>11</v>
      </c>
      <c r="O26" s="164" t="s">
        <v>641</v>
      </c>
      <c r="P26" s="164" t="s">
        <v>642</v>
      </c>
      <c r="Q26" s="164"/>
    </row>
    <row r="27" spans="1:17" ht="18" customHeight="1" x14ac:dyDescent="0.35">
      <c r="A27" s="203">
        <f>_xlfn.XLOOKUP(B27, 'Open Source Tools'!$E$3:$E$206, 'Open Source Tools'!$A$3:$A$206, "Not found")</f>
        <v>13</v>
      </c>
      <c r="B27" s="9" t="s">
        <v>670</v>
      </c>
      <c r="C27" s="232" t="str">
        <f>VLOOKUP($B27,'Heat Map'!$B$4:$D$33, 3,FALSE)</f>
        <v>Grid Balancing Tools</v>
      </c>
      <c r="D27" s="302">
        <v>0</v>
      </c>
      <c r="E27" s="3">
        <v>1</v>
      </c>
      <c r="F27" s="302">
        <v>0</v>
      </c>
      <c r="G27" s="302">
        <v>0</v>
      </c>
      <c r="H27" s="3">
        <v>0</v>
      </c>
      <c r="I27" s="302">
        <v>0</v>
      </c>
      <c r="J27" s="3">
        <v>2</v>
      </c>
      <c r="K27" s="302">
        <v>0</v>
      </c>
      <c r="L27" s="3">
        <v>2</v>
      </c>
      <c r="M27" s="304">
        <v>2</v>
      </c>
      <c r="N27" s="361">
        <f t="shared" si="0"/>
        <v>7</v>
      </c>
      <c r="O27" s="164" t="s">
        <v>3326</v>
      </c>
      <c r="P27" s="164" t="s">
        <v>3327</v>
      </c>
      <c r="Q27" s="164"/>
    </row>
    <row r="28" spans="1:17" ht="18" customHeight="1" x14ac:dyDescent="0.35">
      <c r="A28" s="203">
        <f>_xlfn.XLOOKUP(B28, 'Open Source Tools'!$E$3:$E$206, 'Open Source Tools'!$A$3:$A$206, "Not found")</f>
        <v>16</v>
      </c>
      <c r="B28" s="9" t="s">
        <v>689</v>
      </c>
      <c r="C28" s="232" t="str">
        <f>VLOOKUP($B28,'Heat Map'!$B$4:$D$33, 3,FALSE)</f>
        <v>Dynamic Pricing Platform</v>
      </c>
      <c r="D28" s="302">
        <v>2</v>
      </c>
      <c r="E28" s="3">
        <v>2</v>
      </c>
      <c r="F28" s="302">
        <v>1</v>
      </c>
      <c r="G28" s="302">
        <v>2</v>
      </c>
      <c r="H28" s="3">
        <v>0</v>
      </c>
      <c r="I28" s="302">
        <v>0</v>
      </c>
      <c r="J28" s="3">
        <v>2</v>
      </c>
      <c r="K28" s="302">
        <v>2</v>
      </c>
      <c r="L28" s="3">
        <v>2</v>
      </c>
      <c r="M28" s="304">
        <v>2</v>
      </c>
      <c r="N28" s="361">
        <f t="shared" si="0"/>
        <v>15</v>
      </c>
      <c r="O28" s="161" t="s">
        <v>698</v>
      </c>
      <c r="P28" s="161" t="s">
        <v>699</v>
      </c>
      <c r="Q28" s="161"/>
    </row>
    <row r="29" spans="1:17" ht="18" customHeight="1" x14ac:dyDescent="0.4">
      <c r="A29" s="203">
        <f>_xlfn.XLOOKUP(B29, 'Open Source Tools'!$E$3:$E$206, 'Open Source Tools'!$A$3:$A$206, "Not found")</f>
        <v>198</v>
      </c>
      <c r="B29" s="151" t="s">
        <v>3080</v>
      </c>
      <c r="C29" s="232" t="str">
        <f>VLOOKUP($B29,'Heat Map'!$B$4:$D$33, 3,FALSE)</f>
        <v>Community-Based Energy Access Programs</v>
      </c>
      <c r="D29" s="302">
        <v>0</v>
      </c>
      <c r="E29" s="3">
        <v>2</v>
      </c>
      <c r="F29" s="302">
        <v>1</v>
      </c>
      <c r="G29" s="302">
        <v>0</v>
      </c>
      <c r="H29" s="3">
        <v>0</v>
      </c>
      <c r="I29" s="302">
        <v>0</v>
      </c>
      <c r="J29" s="3">
        <v>2</v>
      </c>
      <c r="K29" s="302">
        <v>0</v>
      </c>
      <c r="L29" s="3">
        <v>0</v>
      </c>
      <c r="M29" s="304">
        <v>0</v>
      </c>
      <c r="N29" s="361">
        <f>SUM(D29:M29)</f>
        <v>5</v>
      </c>
      <c r="O29" s="164" t="s">
        <v>3092</v>
      </c>
      <c r="P29" s="164" t="s">
        <v>3093</v>
      </c>
      <c r="Q29" s="164"/>
    </row>
    <row r="30" spans="1:17" ht="18" customHeight="1" x14ac:dyDescent="0.35">
      <c r="A30" s="203">
        <f>_xlfn.XLOOKUP(B30, 'Open Source Tools'!$E$3:$E$206, 'Open Source Tools'!$A$3:$A$206, "Not found")</f>
        <v>36</v>
      </c>
      <c r="B30" s="9" t="s">
        <v>958</v>
      </c>
      <c r="C30" s="232" t="str">
        <f>VLOOKUP($B30,'Heat Map'!$B$4:$D$33, 3,FALSE)</f>
        <v>Mobile Apps</v>
      </c>
      <c r="D30" s="302">
        <v>2</v>
      </c>
      <c r="E30" s="3">
        <v>2</v>
      </c>
      <c r="F30" s="302">
        <v>2</v>
      </c>
      <c r="G30" s="302">
        <v>0</v>
      </c>
      <c r="H30" s="3">
        <v>0</v>
      </c>
      <c r="I30" s="302">
        <v>0</v>
      </c>
      <c r="J30" s="3">
        <v>2</v>
      </c>
      <c r="K30" s="302">
        <v>2</v>
      </c>
      <c r="L30" s="3">
        <v>2</v>
      </c>
      <c r="M30" s="304">
        <v>2</v>
      </c>
      <c r="N30" s="361">
        <f t="shared" si="0"/>
        <v>14</v>
      </c>
      <c r="O30" s="161" t="s">
        <v>969</v>
      </c>
      <c r="P30" s="161" t="s">
        <v>970</v>
      </c>
      <c r="Q30" s="164"/>
    </row>
    <row r="31" spans="1:17" ht="18" customHeight="1" x14ac:dyDescent="0.35">
      <c r="A31" s="203">
        <f>_xlfn.XLOOKUP(B31, 'Open Source Tools'!$E$3:$E$206, 'Open Source Tools'!$A$3:$A$206, "Not found")</f>
        <v>200</v>
      </c>
      <c r="B31" s="9" t="s">
        <v>1891</v>
      </c>
      <c r="C31" s="232" t="str">
        <f>VLOOKUP($B31,'Heat Map'!$B$4:$D$33, 3,FALSE)</f>
        <v>Smart Charging Algorithms</v>
      </c>
      <c r="D31" s="302">
        <v>2</v>
      </c>
      <c r="E31" s="3">
        <v>2</v>
      </c>
      <c r="F31" s="302">
        <v>1</v>
      </c>
      <c r="G31" s="302">
        <v>0</v>
      </c>
      <c r="H31" s="3">
        <v>2</v>
      </c>
      <c r="I31" s="302">
        <v>2</v>
      </c>
      <c r="J31" s="3">
        <v>2</v>
      </c>
      <c r="K31" s="302">
        <v>2</v>
      </c>
      <c r="L31" s="3">
        <v>2</v>
      </c>
      <c r="M31" s="304">
        <v>2</v>
      </c>
      <c r="N31" s="361">
        <f>SUM(D31:M31)</f>
        <v>17</v>
      </c>
      <c r="O31" s="319" t="s">
        <v>1902</v>
      </c>
      <c r="P31" s="319" t="s">
        <v>1903</v>
      </c>
      <c r="Q31" s="161"/>
    </row>
    <row r="32" spans="1:17" ht="18" customHeight="1" x14ac:dyDescent="0.4">
      <c r="A32" s="203">
        <f>_xlfn.XLOOKUP(B32, 'Open Source Tools'!$E$3:$E$206, 'Open Source Tools'!$A$3:$A$206, "Not found")</f>
        <v>191</v>
      </c>
      <c r="B32" s="151" t="s">
        <v>2978</v>
      </c>
      <c r="C32" s="232" t="str">
        <f>VLOOKUP($B32,'Heat Map'!$B$4:$D$33, 3,FALSE)</f>
        <v>Weather Forecasting Tools</v>
      </c>
      <c r="D32" s="302">
        <v>0</v>
      </c>
      <c r="E32" s="3">
        <v>2</v>
      </c>
      <c r="F32" s="302">
        <v>0</v>
      </c>
      <c r="G32" s="302">
        <v>0</v>
      </c>
      <c r="H32" s="3">
        <v>0</v>
      </c>
      <c r="I32" s="302">
        <v>0</v>
      </c>
      <c r="J32" s="3">
        <v>2</v>
      </c>
      <c r="K32" s="302">
        <v>2</v>
      </c>
      <c r="L32" s="3">
        <v>0</v>
      </c>
      <c r="M32" s="304">
        <v>2</v>
      </c>
      <c r="N32" s="361">
        <f t="shared" si="0"/>
        <v>8</v>
      </c>
      <c r="O32" s="164" t="s">
        <v>2989</v>
      </c>
      <c r="P32" s="164" t="s">
        <v>2990</v>
      </c>
    </row>
    <row r="33" spans="1:17" ht="16.5" thickBot="1" x14ac:dyDescent="0.4">
      <c r="A33" s="226">
        <f>_xlfn.XLOOKUP(B33, 'Open Source Tools'!$E$3:$E$206, 'Open Source Tools'!$A$3:$A$206, "Not found")</f>
        <v>28</v>
      </c>
      <c r="B33" s="384" t="s">
        <v>851</v>
      </c>
      <c r="C33" s="401" t="str">
        <f>VLOOKUP($B33,'Heat Map'!$B$4:$D$33, 3,FALSE)</f>
        <v>Community Energy Management Systems (CEMS)</v>
      </c>
      <c r="D33" s="22">
        <v>2</v>
      </c>
      <c r="E33" s="248">
        <v>2</v>
      </c>
      <c r="F33" s="22">
        <v>1</v>
      </c>
      <c r="G33" s="22">
        <v>0</v>
      </c>
      <c r="H33" s="248">
        <v>0</v>
      </c>
      <c r="I33" s="22">
        <v>0</v>
      </c>
      <c r="J33" s="248">
        <v>2</v>
      </c>
      <c r="K33" s="22">
        <v>2</v>
      </c>
      <c r="L33" s="248">
        <v>2</v>
      </c>
      <c r="M33" s="165">
        <v>2</v>
      </c>
      <c r="N33" s="403">
        <f t="shared" si="0"/>
        <v>13</v>
      </c>
      <c r="O33" s="161" t="s">
        <v>861</v>
      </c>
      <c r="P33" s="161" t="s">
        <v>862</v>
      </c>
    </row>
    <row r="34" spans="1:17" x14ac:dyDescent="0.35">
      <c r="A34" s="102"/>
      <c r="B34" s="1"/>
      <c r="C34" s="127"/>
      <c r="D34" s="102"/>
      <c r="E34" s="102"/>
      <c r="F34" s="102"/>
      <c r="G34" s="102"/>
      <c r="H34" s="102"/>
      <c r="I34" s="102"/>
      <c r="J34" s="102"/>
      <c r="K34" s="102"/>
      <c r="L34" s="102"/>
      <c r="M34" s="102"/>
      <c r="N34" s="137"/>
      <c r="O34" s="227"/>
      <c r="P34" s="227"/>
    </row>
    <row r="35" spans="1:17" x14ac:dyDescent="0.35">
      <c r="B35" s="317"/>
      <c r="N35" s="128"/>
      <c r="O35" s="235"/>
      <c r="P35" s="235"/>
      <c r="Q35" s="235"/>
    </row>
    <row r="36" spans="1:17" x14ac:dyDescent="0.35">
      <c r="B36" s="317"/>
    </row>
    <row r="37" spans="1:17" x14ac:dyDescent="0.35">
      <c r="B37" s="1"/>
      <c r="O37" s="164"/>
      <c r="P37" s="164"/>
      <c r="Q37" s="164"/>
    </row>
    <row r="38" spans="1:17" x14ac:dyDescent="0.35">
      <c r="O38" s="164"/>
      <c r="P38" s="163"/>
      <c r="Q38" s="163"/>
    </row>
    <row r="39" spans="1:17" ht="29" x14ac:dyDescent="0.35">
      <c r="B39" s="330" t="s">
        <v>3328</v>
      </c>
      <c r="C39" s="330" t="s">
        <v>104</v>
      </c>
      <c r="D39" s="169" t="s">
        <v>3329</v>
      </c>
      <c r="E39" s="169" t="s">
        <v>3330</v>
      </c>
      <c r="F39" s="169" t="s">
        <v>3331</v>
      </c>
      <c r="J39" s="102"/>
      <c r="K39" s="9"/>
      <c r="L39" s="232"/>
      <c r="O39" s="164"/>
      <c r="P39" s="316"/>
      <c r="Q39" s="316"/>
    </row>
    <row r="40" spans="1:17" ht="58" x14ac:dyDescent="0.35">
      <c r="B40" s="318" t="s">
        <v>3315</v>
      </c>
      <c r="C40" s="159" t="s">
        <v>3332</v>
      </c>
      <c r="D40" s="159" t="s">
        <v>3333</v>
      </c>
      <c r="E40" s="159" t="s">
        <v>3334</v>
      </c>
      <c r="F40" s="159" t="s">
        <v>3335</v>
      </c>
      <c r="J40" s="102"/>
      <c r="K40" s="9"/>
      <c r="L40" s="232"/>
      <c r="O40" s="163"/>
      <c r="P40" s="316"/>
      <c r="Q40" s="316"/>
    </row>
    <row r="41" spans="1:17" ht="116" x14ac:dyDescent="0.4">
      <c r="B41" s="318" t="s">
        <v>3316</v>
      </c>
      <c r="C41" s="159" t="s">
        <v>3336</v>
      </c>
      <c r="D41" s="159" t="s">
        <v>3337</v>
      </c>
      <c r="E41" s="159" t="s">
        <v>3338</v>
      </c>
      <c r="F41" s="159" t="s">
        <v>3339</v>
      </c>
      <c r="J41" s="102"/>
      <c r="K41" s="151"/>
      <c r="L41" s="232"/>
      <c r="O41" s="316"/>
      <c r="P41" s="316"/>
      <c r="Q41" s="316"/>
    </row>
    <row r="42" spans="1:17" ht="58" x14ac:dyDescent="0.35">
      <c r="B42" s="318" t="s">
        <v>3317</v>
      </c>
      <c r="C42" s="159" t="s">
        <v>3340</v>
      </c>
      <c r="D42" s="159" t="s">
        <v>3341</v>
      </c>
      <c r="E42" s="159" t="s">
        <v>3342</v>
      </c>
      <c r="F42" s="159" t="s">
        <v>3343</v>
      </c>
      <c r="J42" s="102"/>
      <c r="K42" s="9"/>
      <c r="L42" s="232"/>
      <c r="O42" s="164"/>
      <c r="P42" s="316"/>
      <c r="Q42" s="316"/>
    </row>
    <row r="43" spans="1:17" ht="58" x14ac:dyDescent="0.35">
      <c r="B43" s="318" t="s">
        <v>3318</v>
      </c>
      <c r="C43" s="159" t="s">
        <v>3344</v>
      </c>
      <c r="D43" s="159" t="s">
        <v>3345</v>
      </c>
      <c r="E43" s="159" t="s">
        <v>3346</v>
      </c>
      <c r="F43" s="159" t="s">
        <v>3347</v>
      </c>
      <c r="J43" s="102"/>
      <c r="K43" s="9"/>
      <c r="L43" s="232"/>
    </row>
    <row r="44" spans="1:17" ht="58" x14ac:dyDescent="0.35">
      <c r="B44" s="318" t="s">
        <v>3319</v>
      </c>
      <c r="C44" s="159" t="s">
        <v>3348</v>
      </c>
      <c r="D44" s="159" t="s">
        <v>3349</v>
      </c>
      <c r="E44" s="159" t="s">
        <v>3350</v>
      </c>
      <c r="F44" s="159" t="s">
        <v>3351</v>
      </c>
      <c r="J44" s="102"/>
      <c r="K44" s="9"/>
      <c r="L44" s="232"/>
    </row>
    <row r="45" spans="1:17" ht="58" x14ac:dyDescent="0.35">
      <c r="B45" s="318" t="s">
        <v>3320</v>
      </c>
      <c r="C45" s="159" t="s">
        <v>3352</v>
      </c>
      <c r="D45" s="159" t="s">
        <v>3353</v>
      </c>
      <c r="E45" s="159" t="s">
        <v>3354</v>
      </c>
      <c r="F45" s="159" t="s">
        <v>3355</v>
      </c>
      <c r="J45" s="102"/>
      <c r="K45" s="9"/>
      <c r="L45" s="232"/>
      <c r="O45" s="164"/>
    </row>
    <row r="46" spans="1:17" ht="58" x14ac:dyDescent="0.35">
      <c r="B46" s="318" t="s">
        <v>3321</v>
      </c>
      <c r="C46" s="159" t="s">
        <v>3356</v>
      </c>
      <c r="D46" s="159" t="s">
        <v>3357</v>
      </c>
      <c r="E46" s="159" t="s">
        <v>3358</v>
      </c>
      <c r="F46" s="159" t="s">
        <v>3359</v>
      </c>
      <c r="J46" s="102"/>
      <c r="K46" s="9"/>
      <c r="L46" s="232"/>
    </row>
    <row r="47" spans="1:17" ht="43.5" x14ac:dyDescent="0.35">
      <c r="B47" s="318" t="s">
        <v>3322</v>
      </c>
      <c r="C47" s="159" t="s">
        <v>3360</v>
      </c>
      <c r="D47" s="159" t="s">
        <v>3361</v>
      </c>
      <c r="E47" s="159" t="s">
        <v>3362</v>
      </c>
      <c r="F47" s="159" t="s">
        <v>3363</v>
      </c>
      <c r="J47" s="102"/>
      <c r="K47" s="9"/>
      <c r="L47" s="232"/>
    </row>
    <row r="48" spans="1:17" ht="58" x14ac:dyDescent="0.35">
      <c r="B48" s="318" t="s">
        <v>3323</v>
      </c>
      <c r="C48" s="159" t="s">
        <v>3364</v>
      </c>
      <c r="D48" s="159" t="s">
        <v>3365</v>
      </c>
      <c r="E48" s="159" t="s">
        <v>3366</v>
      </c>
      <c r="F48" s="159" t="s">
        <v>3367</v>
      </c>
      <c r="J48" s="102"/>
      <c r="K48" s="9"/>
      <c r="L48" s="232"/>
    </row>
    <row r="49" spans="2:17" ht="58" x14ac:dyDescent="0.35">
      <c r="B49" s="318" t="s">
        <v>3324</v>
      </c>
      <c r="C49" s="159" t="s">
        <v>3368</v>
      </c>
      <c r="D49" s="159" t="s">
        <v>3369</v>
      </c>
      <c r="E49" s="159" t="s">
        <v>3370</v>
      </c>
      <c r="F49" s="159" t="s">
        <v>3371</v>
      </c>
      <c r="J49" s="102"/>
      <c r="K49" s="9"/>
      <c r="L49" s="232"/>
    </row>
    <row r="50" spans="2:17" ht="16" x14ac:dyDescent="0.35">
      <c r="J50" s="102"/>
      <c r="K50" s="9"/>
      <c r="L50" s="232"/>
      <c r="O50" s="164"/>
      <c r="P50" s="164"/>
      <c r="Q50" s="164"/>
    </row>
    <row r="51" spans="2:17" ht="16" x14ac:dyDescent="0.35">
      <c r="J51" s="102"/>
      <c r="K51" s="9"/>
      <c r="L51" s="232"/>
    </row>
    <row r="52" spans="2:17" ht="16" x14ac:dyDescent="0.35">
      <c r="J52" s="102"/>
      <c r="K52" s="9"/>
      <c r="L52" s="232"/>
      <c r="O52" s="164"/>
      <c r="P52" s="164"/>
      <c r="Q52" s="164"/>
    </row>
    <row r="53" spans="2:17" ht="16" x14ac:dyDescent="0.35">
      <c r="B53" s="317"/>
      <c r="J53" s="102"/>
      <c r="K53" s="9"/>
      <c r="L53" s="232"/>
    </row>
    <row r="54" spans="2:17" ht="16" x14ac:dyDescent="0.35">
      <c r="B54" s="317"/>
      <c r="J54" s="102"/>
      <c r="K54" s="9"/>
      <c r="L54" s="232"/>
    </row>
    <row r="55" spans="2:17" ht="16" x14ac:dyDescent="0.35">
      <c r="B55" s="317"/>
      <c r="J55" s="102"/>
      <c r="K55" s="9"/>
      <c r="L55" s="232"/>
      <c r="N55" s="128"/>
      <c r="O55" s="164"/>
      <c r="P55" s="164"/>
      <c r="Q55" s="164"/>
    </row>
    <row r="56" spans="2:17" ht="16" x14ac:dyDescent="0.35">
      <c r="B56" s="317"/>
      <c r="J56" s="102"/>
      <c r="K56" s="9"/>
      <c r="L56" s="232"/>
    </row>
    <row r="57" spans="2:17" ht="16" x14ac:dyDescent="0.35">
      <c r="B57" s="317"/>
      <c r="J57" s="102"/>
      <c r="K57" s="9"/>
      <c r="L57" s="232"/>
      <c r="N57" s="128"/>
      <c r="O57" s="164"/>
      <c r="P57" s="164"/>
      <c r="Q57" s="164"/>
    </row>
    <row r="58" spans="2:17" ht="16" x14ac:dyDescent="0.35">
      <c r="B58" s="317"/>
      <c r="J58" s="102"/>
      <c r="K58" s="9"/>
      <c r="L58" s="232"/>
    </row>
    <row r="59" spans="2:17" ht="16" x14ac:dyDescent="0.35">
      <c r="B59" s="317"/>
      <c r="J59" s="102"/>
      <c r="K59" s="9"/>
      <c r="L59" s="232"/>
    </row>
    <row r="60" spans="2:17" ht="16" x14ac:dyDescent="0.4">
      <c r="B60" s="317"/>
      <c r="J60" s="102"/>
      <c r="K60" s="151"/>
      <c r="L60" s="232"/>
      <c r="N60" s="128"/>
      <c r="O60" s="164"/>
      <c r="P60" s="164"/>
      <c r="Q60" s="164"/>
    </row>
    <row r="61" spans="2:17" ht="16" x14ac:dyDescent="0.35">
      <c r="B61" s="317"/>
      <c r="J61" s="102"/>
      <c r="K61" s="9"/>
      <c r="L61" s="232"/>
    </row>
    <row r="62" spans="2:17" ht="16" x14ac:dyDescent="0.35">
      <c r="B62" s="317"/>
      <c r="J62" s="102"/>
      <c r="K62" s="9"/>
      <c r="L62" s="232"/>
    </row>
    <row r="63" spans="2:17" ht="16" x14ac:dyDescent="0.35">
      <c r="J63" s="102"/>
      <c r="K63" s="9"/>
      <c r="L63" s="232"/>
    </row>
    <row r="64" spans="2:17" ht="16" x14ac:dyDescent="0.4">
      <c r="J64" s="102"/>
      <c r="K64" s="151"/>
      <c r="L64" s="232"/>
    </row>
    <row r="65" spans="7:12" ht="16" x14ac:dyDescent="0.35">
      <c r="J65" s="102"/>
      <c r="K65" s="9"/>
      <c r="L65" s="232"/>
    </row>
    <row r="66" spans="7:12" ht="16" x14ac:dyDescent="0.35">
      <c r="J66" s="102"/>
      <c r="K66" s="9"/>
      <c r="L66" s="232"/>
    </row>
    <row r="67" spans="7:12" ht="16" x14ac:dyDescent="0.4">
      <c r="J67" s="102"/>
      <c r="K67" s="151"/>
      <c r="L67" s="232"/>
    </row>
    <row r="68" spans="7:12" ht="16" x14ac:dyDescent="0.35">
      <c r="J68" s="102"/>
      <c r="K68" s="9"/>
      <c r="L68" s="232"/>
    </row>
    <row r="73" spans="7:12" ht="15" thickBot="1" x14ac:dyDescent="0.4"/>
    <row r="74" spans="7:12" ht="15" thickBot="1" x14ac:dyDescent="0.4">
      <c r="G74" s="402"/>
    </row>
  </sheetData>
  <mergeCells count="8">
    <mergeCell ref="O2:O3"/>
    <mergeCell ref="P2:P3"/>
    <mergeCell ref="A1:N1"/>
    <mergeCell ref="S3:T3"/>
    <mergeCell ref="A2:A3"/>
    <mergeCell ref="B2:B3"/>
    <mergeCell ref="C2:C3"/>
    <mergeCell ref="N2:N3"/>
  </mergeCells>
  <conditionalFormatting sqref="B4">
    <cfRule type="duplicateValues" dxfId="223" priority="68"/>
  </conditionalFormatting>
  <conditionalFormatting sqref="B5">
    <cfRule type="duplicateValues" dxfId="222" priority="48"/>
  </conditionalFormatting>
  <conditionalFormatting sqref="B6">
    <cfRule type="duplicateValues" dxfId="221" priority="47"/>
  </conditionalFormatting>
  <conditionalFormatting sqref="B7">
    <cfRule type="duplicateValues" dxfId="220" priority="41"/>
  </conditionalFormatting>
  <conditionalFormatting sqref="B8">
    <cfRule type="duplicateValues" dxfId="219" priority="63"/>
  </conditionalFormatting>
  <conditionalFormatting sqref="B9">
    <cfRule type="duplicateValues" dxfId="218" priority="62"/>
  </conditionalFormatting>
  <conditionalFormatting sqref="B10">
    <cfRule type="duplicateValues" dxfId="217" priority="69"/>
  </conditionalFormatting>
  <conditionalFormatting sqref="B11">
    <cfRule type="duplicateValues" dxfId="216" priority="61"/>
  </conditionalFormatting>
  <conditionalFormatting sqref="B12">
    <cfRule type="duplicateValues" dxfId="215" priority="60"/>
  </conditionalFormatting>
  <conditionalFormatting sqref="B13">
    <cfRule type="duplicateValues" dxfId="214" priority="43"/>
  </conditionalFormatting>
  <conditionalFormatting sqref="B14">
    <cfRule type="duplicateValues" dxfId="213" priority="64"/>
  </conditionalFormatting>
  <conditionalFormatting sqref="B15">
    <cfRule type="duplicateValues" dxfId="212" priority="54"/>
  </conditionalFormatting>
  <conditionalFormatting sqref="B16">
    <cfRule type="duplicateValues" dxfId="211" priority="67"/>
  </conditionalFormatting>
  <conditionalFormatting sqref="B17">
    <cfRule type="duplicateValues" dxfId="210" priority="52"/>
  </conditionalFormatting>
  <conditionalFormatting sqref="B18">
    <cfRule type="duplicateValues" dxfId="209" priority="66"/>
  </conditionalFormatting>
  <conditionalFormatting sqref="B19">
    <cfRule type="duplicateValues" dxfId="208" priority="53"/>
  </conditionalFormatting>
  <conditionalFormatting sqref="B20">
    <cfRule type="duplicateValues" dxfId="207" priority="65"/>
  </conditionalFormatting>
  <conditionalFormatting sqref="B21">
    <cfRule type="duplicateValues" dxfId="206" priority="49"/>
  </conditionalFormatting>
  <conditionalFormatting sqref="B22">
    <cfRule type="duplicateValues" dxfId="205" priority="59"/>
  </conditionalFormatting>
  <conditionalFormatting sqref="B23">
    <cfRule type="duplicateValues" dxfId="204" priority="58"/>
  </conditionalFormatting>
  <conditionalFormatting sqref="B24">
    <cfRule type="duplicateValues" dxfId="203" priority="46"/>
  </conditionalFormatting>
  <conditionalFormatting sqref="B25">
    <cfRule type="duplicateValues" dxfId="202" priority="45"/>
  </conditionalFormatting>
  <conditionalFormatting sqref="B26">
    <cfRule type="duplicateValues" dxfId="201" priority="44"/>
  </conditionalFormatting>
  <conditionalFormatting sqref="B27">
    <cfRule type="duplicateValues" dxfId="200" priority="51"/>
  </conditionalFormatting>
  <conditionalFormatting sqref="B28">
    <cfRule type="duplicateValues" dxfId="199" priority="50"/>
  </conditionalFormatting>
  <conditionalFormatting sqref="B29">
    <cfRule type="duplicateValues" dxfId="198" priority="57"/>
  </conditionalFormatting>
  <conditionalFormatting sqref="B30">
    <cfRule type="duplicateValues" dxfId="197" priority="55"/>
  </conditionalFormatting>
  <conditionalFormatting sqref="B31">
    <cfRule type="duplicateValues" dxfId="196" priority="32"/>
  </conditionalFormatting>
  <conditionalFormatting sqref="B32">
    <cfRule type="duplicateValues" dxfId="195" priority="42"/>
  </conditionalFormatting>
  <conditionalFormatting sqref="B33">
    <cfRule type="duplicateValues" dxfId="194" priority="56"/>
  </conditionalFormatting>
  <conditionalFormatting sqref="B35">
    <cfRule type="duplicateValues" dxfId="193" priority="130"/>
  </conditionalFormatting>
  <conditionalFormatting sqref="B36">
    <cfRule type="duplicateValues" dxfId="192" priority="129"/>
  </conditionalFormatting>
  <conditionalFormatting sqref="B37">
    <cfRule type="duplicateValues" dxfId="191" priority="128"/>
  </conditionalFormatting>
  <conditionalFormatting sqref="B53">
    <cfRule type="duplicateValues" dxfId="190" priority="114"/>
  </conditionalFormatting>
  <conditionalFormatting sqref="B54">
    <cfRule type="duplicateValues" dxfId="189" priority="113"/>
  </conditionalFormatting>
  <conditionalFormatting sqref="B55">
    <cfRule type="duplicateValues" dxfId="188" priority="112"/>
  </conditionalFormatting>
  <conditionalFormatting sqref="B56">
    <cfRule type="duplicateValues" dxfId="187" priority="111"/>
  </conditionalFormatting>
  <conditionalFormatting sqref="B57">
    <cfRule type="duplicateValues" dxfId="186" priority="110"/>
  </conditionalFormatting>
  <conditionalFormatting sqref="B58">
    <cfRule type="duplicateValues" dxfId="185" priority="109"/>
  </conditionalFormatting>
  <conditionalFormatting sqref="B59:B61">
    <cfRule type="duplicateValues" dxfId="184" priority="108"/>
  </conditionalFormatting>
  <conditionalFormatting sqref="B62">
    <cfRule type="duplicateValues" dxfId="183" priority="133"/>
  </conditionalFormatting>
  <conditionalFormatting sqref="D4:M34">
    <cfRule type="colorScale" priority="384">
      <colorScale>
        <cfvo type="min"/>
        <cfvo type="max"/>
        <color theme="0"/>
        <color rgb="FF88428A"/>
      </colorScale>
    </cfRule>
  </conditionalFormatting>
  <conditionalFormatting sqref="K39">
    <cfRule type="duplicateValues" dxfId="182" priority="29"/>
  </conditionalFormatting>
  <conditionalFormatting sqref="K40">
    <cfRule type="duplicateValues" dxfId="181" priority="9"/>
  </conditionalFormatting>
  <conditionalFormatting sqref="K41">
    <cfRule type="duplicateValues" dxfId="180" priority="8"/>
  </conditionalFormatting>
  <conditionalFormatting sqref="K42">
    <cfRule type="duplicateValues" dxfId="179" priority="2"/>
  </conditionalFormatting>
  <conditionalFormatting sqref="K43">
    <cfRule type="duplicateValues" dxfId="178" priority="24"/>
  </conditionalFormatting>
  <conditionalFormatting sqref="K44">
    <cfRule type="duplicateValues" dxfId="177" priority="23"/>
  </conditionalFormatting>
  <conditionalFormatting sqref="K45">
    <cfRule type="duplicateValues" dxfId="176" priority="30"/>
  </conditionalFormatting>
  <conditionalFormatting sqref="K46">
    <cfRule type="duplicateValues" dxfId="175" priority="22"/>
  </conditionalFormatting>
  <conditionalFormatting sqref="K47">
    <cfRule type="duplicateValues" dxfId="174" priority="21"/>
  </conditionalFormatting>
  <conditionalFormatting sqref="K48">
    <cfRule type="duplicateValues" dxfId="173" priority="4"/>
  </conditionalFormatting>
  <conditionalFormatting sqref="K49">
    <cfRule type="duplicateValues" dxfId="172" priority="25"/>
  </conditionalFormatting>
  <conditionalFormatting sqref="K50">
    <cfRule type="duplicateValues" dxfId="171" priority="15"/>
  </conditionalFormatting>
  <conditionalFormatting sqref="K51">
    <cfRule type="duplicateValues" dxfId="170" priority="28"/>
  </conditionalFormatting>
  <conditionalFormatting sqref="K52">
    <cfRule type="duplicateValues" dxfId="169" priority="13"/>
  </conditionalFormatting>
  <conditionalFormatting sqref="K53">
    <cfRule type="duplicateValues" dxfId="168" priority="27"/>
  </conditionalFormatting>
  <conditionalFormatting sqref="K54">
    <cfRule type="duplicateValues" dxfId="167" priority="14"/>
  </conditionalFormatting>
  <conditionalFormatting sqref="K55">
    <cfRule type="duplicateValues" dxfId="166" priority="26"/>
  </conditionalFormatting>
  <conditionalFormatting sqref="K56">
    <cfRule type="duplicateValues" dxfId="165" priority="10"/>
  </conditionalFormatting>
  <conditionalFormatting sqref="K57">
    <cfRule type="duplicateValues" dxfId="164" priority="20"/>
  </conditionalFormatting>
  <conditionalFormatting sqref="K58">
    <cfRule type="duplicateValues" dxfId="163" priority="19"/>
  </conditionalFormatting>
  <conditionalFormatting sqref="K59">
    <cfRule type="duplicateValues" dxfId="162" priority="7"/>
  </conditionalFormatting>
  <conditionalFormatting sqref="K60">
    <cfRule type="duplicateValues" dxfId="161" priority="6"/>
  </conditionalFormatting>
  <conditionalFormatting sqref="K61">
    <cfRule type="duplicateValues" dxfId="160" priority="5"/>
  </conditionalFormatting>
  <conditionalFormatting sqref="K62">
    <cfRule type="duplicateValues" dxfId="159" priority="12"/>
  </conditionalFormatting>
  <conditionalFormatting sqref="K63">
    <cfRule type="duplicateValues" dxfId="158" priority="11"/>
  </conditionalFormatting>
  <conditionalFormatting sqref="K64">
    <cfRule type="duplicateValues" dxfId="157" priority="18"/>
  </conditionalFormatting>
  <conditionalFormatting sqref="K65">
    <cfRule type="duplicateValues" dxfId="156" priority="16"/>
  </conditionalFormatting>
  <conditionalFormatting sqref="K66">
    <cfRule type="duplicateValues" dxfId="155" priority="1"/>
  </conditionalFormatting>
  <conditionalFormatting sqref="K67">
    <cfRule type="duplicateValues" dxfId="154" priority="3"/>
  </conditionalFormatting>
  <conditionalFormatting sqref="K68">
    <cfRule type="duplicateValues" dxfId="153" priority="17"/>
  </conditionalFormatting>
  <conditionalFormatting sqref="N4:N34">
    <cfRule type="colorScale" priority="386">
      <colorScale>
        <cfvo type="num" val="0"/>
        <cfvo type="num" val="20"/>
        <color theme="0" tint="-4.9989318521683403E-2"/>
        <color rgb="FF88428A"/>
      </colorScale>
    </cfRule>
  </conditionalFormatting>
  <conditionalFormatting sqref="O29">
    <cfRule type="duplicateValues" dxfId="152" priority="102"/>
    <cfRule type="duplicateValues" dxfId="151" priority="104"/>
  </conditionalFormatting>
  <conditionalFormatting sqref="O31">
    <cfRule type="duplicateValues" dxfId="150" priority="31"/>
  </conditionalFormatting>
  <conditionalFormatting sqref="O32">
    <cfRule type="duplicateValues" dxfId="149" priority="72"/>
    <cfRule type="duplicateValues" dxfId="148" priority="70"/>
  </conditionalFormatting>
  <conditionalFormatting sqref="O60">
    <cfRule type="duplicateValues" dxfId="147" priority="105"/>
  </conditionalFormatting>
  <conditionalFormatting sqref="P29 Q30">
    <cfRule type="duplicateValues" dxfId="146" priority="103"/>
  </conditionalFormatting>
  <conditionalFormatting sqref="P32 Q29">
    <cfRule type="duplicateValues" dxfId="145" priority="71"/>
  </conditionalFormatting>
  <conditionalFormatting sqref="P60:Q60">
    <cfRule type="duplicateValues" dxfId="144" priority="106"/>
  </conditionalFormatting>
  <conditionalFormatting sqref="S4:S6">
    <cfRule type="colorScale" priority="33">
      <colorScale>
        <cfvo type="min"/>
        <cfvo type="max"/>
        <color theme="0"/>
        <color rgb="FF88428A"/>
      </colorScale>
    </cfRule>
  </conditionalFormatting>
  <conditionalFormatting sqref="S5">
    <cfRule type="expression" dxfId="143" priority="36">
      <formula>AK35=1</formula>
    </cfRule>
    <cfRule type="expression" dxfId="142" priority="35">
      <formula>AL35=1</formula>
    </cfRule>
    <cfRule type="colorScale" priority="34">
      <colorScale>
        <cfvo type="min"/>
        <cfvo type="max"/>
        <color theme="0"/>
        <color rgb="FF88428A"/>
      </colorScale>
    </cfRule>
    <cfRule type="expression" dxfId="141" priority="37">
      <formula>AJ35=1</formula>
    </cfRule>
  </conditionalFormatting>
  <hyperlinks>
    <hyperlink ref="O33" r:id="rId1" xr:uid="{6C936492-BA78-4FC5-AF77-06739A427EE9}"/>
    <hyperlink ref="P33" r:id="rId2" xr:uid="{651506CE-458C-4ADF-902D-A3168345A793}"/>
    <hyperlink ref="O28" r:id="rId3" xr:uid="{BEB0CAFC-787D-456A-9C1A-EE1DB2719760}"/>
    <hyperlink ref="P28" r:id="rId4" xr:uid="{4BDDD051-98EA-4E9D-BBE1-F0BD87EEA171}"/>
    <hyperlink ref="O10" r:id="rId5" xr:uid="{1B55E780-2831-46D0-90EA-A08F038C2967}"/>
    <hyperlink ref="P10" r:id="rId6" xr:uid="{1141F8C1-52AB-4E81-BFE3-E120964529EE}"/>
    <hyperlink ref="P6" r:id="rId7" xr:uid="{31C0D4C0-CB2C-4932-8F24-7C7926A5390B}"/>
    <hyperlink ref="O6" r:id="rId8" xr:uid="{6471B564-60E9-4052-A273-6365FF0A42A2}"/>
    <hyperlink ref="O13" r:id="rId9" xr:uid="{32F927D3-6B60-4C6B-B778-D1B5807D0A62}"/>
    <hyperlink ref="P13" r:id="rId10" xr:uid="{1CF2D510-1F52-47E3-8781-83FC520DB260}"/>
    <hyperlink ref="O14" r:id="rId11" xr:uid="{49A1D656-6F0C-444A-A465-377469F73EEB}"/>
    <hyperlink ref="P14" r:id="rId12" xr:uid="{59AE544E-1BB6-4919-BFEE-88CD25D1273B}"/>
    <hyperlink ref="O25" r:id="rId13" xr:uid="{E8C345DD-57E4-43A2-A799-618C123DEABC}"/>
    <hyperlink ref="P25" r:id="rId14" xr:uid="{8DE98FE4-6B58-4BA3-BE49-FCF2A86E6AFC}"/>
    <hyperlink ref="O26" r:id="rId15" xr:uid="{D4BF0712-D55F-4A21-A5DD-B7948ED4E221}"/>
    <hyperlink ref="P26" r:id="rId16" xr:uid="{C3915FC4-5042-4C4B-9E00-07351074AB0E}"/>
    <hyperlink ref="O27" r:id="rId17" xr:uid="{B661F2F8-5989-4B79-9018-CBF78DEA1522}"/>
    <hyperlink ref="P27" r:id="rId18" xr:uid="{F4E19024-F3D6-4E3D-9659-6964D5BA409D}"/>
    <hyperlink ref="O15" r:id="rId19" xr:uid="{77B1CC41-651C-41C3-BB1D-75D3B249BAD2}"/>
    <hyperlink ref="P15" r:id="rId20" xr:uid="{69BE6100-EB4B-489F-9DCC-0B7B2097F35D}"/>
    <hyperlink ref="O17" r:id="rId21" xr:uid="{D5B0BF3F-B81F-4EF0-8417-1DA0FFD4D623}"/>
    <hyperlink ref="P17" r:id="rId22" xr:uid="{EE40A428-EC6D-4B1F-A051-670AA9624F9F}"/>
    <hyperlink ref="O20" r:id="rId23" xr:uid="{59841D5B-20DF-4912-A826-AF06B243FA8B}"/>
    <hyperlink ref="P20" r:id="rId24" xr:uid="{DE2F1606-7604-4FB4-ADAD-B8008A9FBFF5}"/>
    <hyperlink ref="O22" r:id="rId25" xr:uid="{E1088E12-FAA8-4EC4-A688-48884F5E4B0E}"/>
    <hyperlink ref="P22" r:id="rId26" xr:uid="{8D833C14-5412-439C-BF86-E460101CFA49}"/>
    <hyperlink ref="P23" r:id="rId27" xr:uid="{8A68692E-F91B-4A5B-9F4F-1201CF7A5E75}"/>
    <hyperlink ref="O23" r:id="rId28" xr:uid="{7CC16762-9745-43E2-94A4-5E68ADA5E144}"/>
    <hyperlink ref="O29" r:id="rId29" xr:uid="{C4236B05-F673-42AA-AE00-4633717126AA}"/>
    <hyperlink ref="P29" r:id="rId30" xr:uid="{2F01550F-6275-4E36-94CB-EDCB72FA02A2}"/>
    <hyperlink ref="O18" r:id="rId31" xr:uid="{344F65E8-DD3E-4716-A7F2-9F6328561263}"/>
    <hyperlink ref="O21" r:id="rId32" xr:uid="{1E5B7A42-897F-4FC8-B8DB-B41818D6C051}"/>
    <hyperlink ref="P21" r:id="rId33" xr:uid="{6F000A52-B200-4B7A-80F8-2825371044E3}"/>
    <hyperlink ref="O32" r:id="rId34" xr:uid="{00EB03E7-3773-46C5-B93A-F1F9BCBA8F3B}"/>
    <hyperlink ref="P32" r:id="rId35" xr:uid="{1DD035CD-5B5A-4C49-B0B1-983F7B4328B9}"/>
    <hyperlink ref="O19" r:id="rId36" xr:uid="{B05839FF-814D-46C2-806C-157580BCDEC7}"/>
    <hyperlink ref="P19" r:id="rId37" xr:uid="{B67E33A6-668E-4FF4-AAFE-9B801947D9B8}"/>
    <hyperlink ref="O16" r:id="rId38" xr:uid="{2836EEE3-ACE6-40BF-AFDF-18144F8083E0}"/>
    <hyperlink ref="P16" r:id="rId39" xr:uid="{50B35A0D-3F46-4BC6-B612-0F5B0146D3DA}"/>
    <hyperlink ref="P30" r:id="rId40" xr:uid="{F8340657-1DB5-41D6-8F49-AC70032831D7}"/>
    <hyperlink ref="O30" r:id="rId41" xr:uid="{DEEA9D66-36D9-41E6-9A29-9D14C64DF6C3}"/>
    <hyperlink ref="P24" r:id="rId42" xr:uid="{E6969418-B146-4FC5-9E4D-DA1099CF0FD6}"/>
    <hyperlink ref="O24" r:id="rId43" xr:uid="{BA80B5A2-0A94-497D-8670-D036A98F578F}"/>
    <hyperlink ref="O12" r:id="rId44" xr:uid="{A92065F1-0089-4588-843A-162BBBD38BC0}"/>
    <hyperlink ref="P12" r:id="rId45" xr:uid="{CDA57479-B974-4584-B5AF-46FD6D079126}"/>
    <hyperlink ref="O11" r:id="rId46" xr:uid="{BED153A2-5DF2-4E41-BC3E-F403DAAA7354}"/>
    <hyperlink ref="P11" r:id="rId47" xr:uid="{66A42D38-01F6-4880-82DD-A81FB6DDFED6}"/>
    <hyperlink ref="P9" r:id="rId48" xr:uid="{80E330E9-7FE0-4CEF-8908-1E67E4E6CB6D}"/>
    <hyperlink ref="O9" r:id="rId49" xr:uid="{2DBAA996-194D-45ED-94E9-764456754B14}"/>
    <hyperlink ref="P8" r:id="rId50" xr:uid="{E9548BEB-D651-4B92-8D87-71AC643FEC01}"/>
    <hyperlink ref="O8" r:id="rId51" xr:uid="{97244E21-2370-40B0-80BA-E3BD050C8B7C}"/>
    <hyperlink ref="O7" r:id="rId52" xr:uid="{552A588B-1534-432E-B630-75AFBD5DBA96}"/>
    <hyperlink ref="P7" r:id="rId53" xr:uid="{0FEEBE66-F0CC-407A-9A96-CFD71460C414}"/>
    <hyperlink ref="P5" r:id="rId54" xr:uid="{5FC843A1-8365-4D2A-848F-39E91C514268}"/>
    <hyperlink ref="O4" r:id="rId55" xr:uid="{B230DEC9-E441-4FB7-9167-E646F73B9CE3}"/>
    <hyperlink ref="P4" r:id="rId56" xr:uid="{F80B2822-65AB-40D7-8115-45193BB596D1}"/>
    <hyperlink ref="O31" r:id="rId57" xr:uid="{A8F584FA-C203-43E0-AB47-8DC0E92A37F9}"/>
    <hyperlink ref="P31" r:id="rId58" xr:uid="{6B7B0540-0CBD-48E0-8C4C-14EF8847A5A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A2F46-030E-418D-B2B2-8E34741CA734}">
  <sheetPr>
    <tabColor theme="0"/>
  </sheetPr>
  <dimension ref="A1:J39"/>
  <sheetViews>
    <sheetView zoomScale="101" workbookViewId="0">
      <selection activeCell="N17" sqref="N17"/>
    </sheetView>
  </sheetViews>
  <sheetFormatPr defaultRowHeight="14.5" x14ac:dyDescent="0.35"/>
  <cols>
    <col min="1" max="1" width="8.7265625" style="172"/>
    <col min="2" max="2" width="39" bestFit="1" customWidth="1"/>
    <col min="3" max="3" width="55.54296875" bestFit="1" customWidth="1"/>
    <col min="4" max="6" width="14.54296875" customWidth="1"/>
  </cols>
  <sheetData>
    <row r="1" spans="1:10" x14ac:dyDescent="0.35">
      <c r="B1" s="571" t="s">
        <v>3383</v>
      </c>
      <c r="C1" s="571"/>
      <c r="D1" s="571"/>
      <c r="E1" s="571"/>
      <c r="F1" s="571"/>
    </row>
    <row r="2" spans="1:10" ht="38.5" customHeight="1" x14ac:dyDescent="0.35">
      <c r="B2" s="571"/>
      <c r="C2" s="571"/>
      <c r="D2" s="571"/>
      <c r="E2" s="571"/>
      <c r="F2" s="571"/>
    </row>
    <row r="3" spans="1:10" x14ac:dyDescent="0.35">
      <c r="B3" s="582" t="s">
        <v>3165</v>
      </c>
      <c r="C3" s="579" t="s">
        <v>3166</v>
      </c>
      <c r="D3" s="572" t="s">
        <v>3175</v>
      </c>
      <c r="E3" s="572" t="s">
        <v>3381</v>
      </c>
      <c r="F3" s="575" t="s">
        <v>3382</v>
      </c>
      <c r="G3" s="172"/>
      <c r="H3" s="172"/>
      <c r="I3" s="172"/>
      <c r="J3" s="172"/>
    </row>
    <row r="4" spans="1:10" x14ac:dyDescent="0.35">
      <c r="A4" s="578"/>
      <c r="B4" s="583"/>
      <c r="C4" s="580"/>
      <c r="D4" s="573"/>
      <c r="E4" s="573"/>
      <c r="F4" s="576"/>
      <c r="G4" s="172"/>
      <c r="H4" s="172"/>
      <c r="I4" s="172"/>
      <c r="J4" s="172"/>
    </row>
    <row r="5" spans="1:10" x14ac:dyDescent="0.35">
      <c r="A5" s="578"/>
      <c r="B5" s="584"/>
      <c r="C5" s="581"/>
      <c r="D5" s="574"/>
      <c r="E5" s="574"/>
      <c r="F5" s="577"/>
      <c r="G5" s="172"/>
      <c r="H5" s="172"/>
      <c r="I5" s="172"/>
      <c r="J5" s="172"/>
    </row>
    <row r="6" spans="1:10" ht="16" x14ac:dyDescent="0.35">
      <c r="A6" s="335"/>
      <c r="B6" s="336" t="s">
        <v>3281</v>
      </c>
      <c r="C6" s="336" t="s">
        <v>123</v>
      </c>
      <c r="D6" s="588">
        <f>VLOOKUP(B6,'Heat Map'!$B$4:$J$33, 9,FALSE)</f>
        <v>8</v>
      </c>
      <c r="E6" s="589">
        <f>VLOOKUP($B6,FunctionalityMapping!$B$5:$Q$34,16,FALSE)</f>
        <v>22</v>
      </c>
      <c r="F6" s="589">
        <f>VLOOKUP(B6,'Interoperability Assessment'!$B$4:$N$34,13,FALSE)</f>
        <v>14</v>
      </c>
      <c r="G6" s="172"/>
      <c r="H6" s="172"/>
      <c r="I6" s="172"/>
      <c r="J6" s="172"/>
    </row>
    <row r="7" spans="1:10" ht="16" x14ac:dyDescent="0.35">
      <c r="A7" s="335"/>
      <c r="B7" s="336" t="s">
        <v>1845</v>
      </c>
      <c r="C7" s="336" t="s">
        <v>128</v>
      </c>
      <c r="D7" s="588">
        <f>VLOOKUP(B7,'Heat Map'!$B$4:$J$33, 9,FALSE)</f>
        <v>9</v>
      </c>
      <c r="E7" s="589">
        <f>VLOOKUP($B7,FunctionalityMapping!$B$5:$Q$34,16,FALSE)</f>
        <v>13</v>
      </c>
      <c r="F7" s="589">
        <f>VLOOKUP(B7,'Interoperability Assessment'!$B$4:$N$34,13,FALSE)</f>
        <v>12</v>
      </c>
      <c r="G7" s="172"/>
      <c r="H7" s="172"/>
      <c r="I7" s="172"/>
      <c r="J7" s="172"/>
    </row>
    <row r="8" spans="1:10" ht="16" x14ac:dyDescent="0.35">
      <c r="A8" s="335"/>
      <c r="B8" s="336" t="s">
        <v>1961</v>
      </c>
      <c r="C8" s="336" t="s">
        <v>131</v>
      </c>
      <c r="D8" s="588">
        <f>VLOOKUP(B8,'Heat Map'!$B$4:$J$33, 9,FALSE)</f>
        <v>8</v>
      </c>
      <c r="E8" s="589">
        <f>VLOOKUP($B8,FunctionalityMapping!$B$5:$Q$34,16,FALSE)</f>
        <v>12</v>
      </c>
      <c r="F8" s="589">
        <f>VLOOKUP(B8,'Interoperability Assessment'!$B$4:$N$34,13,FALSE)</f>
        <v>8</v>
      </c>
      <c r="G8" s="172"/>
      <c r="H8" s="172"/>
      <c r="I8" s="172"/>
      <c r="J8" s="172"/>
    </row>
    <row r="9" spans="1:10" ht="16" x14ac:dyDescent="0.35">
      <c r="A9" s="335"/>
      <c r="B9" s="336" t="s">
        <v>2148</v>
      </c>
      <c r="C9" s="336" t="s">
        <v>137</v>
      </c>
      <c r="D9" s="588">
        <f>VLOOKUP(B9,'Heat Map'!$B$4:$J$33, 9,FALSE)</f>
        <v>7</v>
      </c>
      <c r="E9" s="589">
        <f>VLOOKUP($B9,FunctionalityMapping!$B$5:$Q$34,16,FALSE)</f>
        <v>8</v>
      </c>
      <c r="F9" s="589">
        <f>VLOOKUP(B9,'Interoperability Assessment'!$B$4:$N$34,13,FALSE)</f>
        <v>6</v>
      </c>
      <c r="G9" s="172"/>
      <c r="H9" s="172"/>
      <c r="I9" s="172"/>
      <c r="J9" s="172"/>
    </row>
    <row r="10" spans="1:10" ht="16" x14ac:dyDescent="0.35">
      <c r="A10" s="335"/>
      <c r="B10" s="336" t="s">
        <v>2284</v>
      </c>
      <c r="C10" s="336" t="s">
        <v>140</v>
      </c>
      <c r="D10" s="588">
        <f>VLOOKUP(B10,'Heat Map'!$B$4:$J$33, 9,FALSE)</f>
        <v>9</v>
      </c>
      <c r="E10" s="589">
        <f>VLOOKUP($B10,FunctionalityMapping!$B$5:$Q$34,16,FALSE)</f>
        <v>5</v>
      </c>
      <c r="F10" s="589">
        <f>VLOOKUP(B10,'Interoperability Assessment'!$B$4:$N$34,13,FALSE)</f>
        <v>5</v>
      </c>
      <c r="G10" s="172"/>
      <c r="H10" s="172"/>
      <c r="I10" s="172"/>
      <c r="J10" s="172"/>
    </row>
    <row r="11" spans="1:10" ht="16" x14ac:dyDescent="0.35">
      <c r="A11" s="335"/>
      <c r="B11" s="336" t="s">
        <v>2348</v>
      </c>
      <c r="C11" s="336" t="s">
        <v>438</v>
      </c>
      <c r="D11" s="588">
        <f>VLOOKUP(B11,'Heat Map'!$B$4:$J$33, 9,FALSE)</f>
        <v>8</v>
      </c>
      <c r="E11" s="589">
        <f>VLOOKUP($B11,FunctionalityMapping!$B$5:$Q$34,16,FALSE)</f>
        <v>9</v>
      </c>
      <c r="F11" s="589">
        <f>VLOOKUP(B11,'Interoperability Assessment'!$B$4:$N$34,13,FALSE)</f>
        <v>13</v>
      </c>
      <c r="G11" s="172"/>
      <c r="H11" s="172"/>
      <c r="I11" s="172"/>
      <c r="J11" s="172"/>
    </row>
    <row r="12" spans="1:10" ht="16" x14ac:dyDescent="0.35">
      <c r="A12" s="335"/>
      <c r="B12" s="336" t="s">
        <v>1725</v>
      </c>
      <c r="C12" s="336" t="s">
        <v>441</v>
      </c>
      <c r="D12" s="588">
        <f>VLOOKUP(B12,'Heat Map'!$B$4:$J$33, 9,FALSE)</f>
        <v>8</v>
      </c>
      <c r="E12" s="589">
        <f>VLOOKUP($B12,FunctionalityMapping!$B$5:$Q$34,16,FALSE)</f>
        <v>17</v>
      </c>
      <c r="F12" s="589">
        <f>VLOOKUP(B12,'Interoperability Assessment'!$B$4:$N$34,13,FALSE)</f>
        <v>9</v>
      </c>
      <c r="G12" s="172"/>
      <c r="H12" s="172"/>
      <c r="I12" s="172"/>
      <c r="J12" s="172"/>
    </row>
    <row r="13" spans="1:10" ht="16" x14ac:dyDescent="0.35">
      <c r="A13" s="335"/>
      <c r="B13" s="336" t="s">
        <v>2578</v>
      </c>
      <c r="C13" s="336" t="s">
        <v>444</v>
      </c>
      <c r="D13" s="588">
        <f>VLOOKUP(B13,'Heat Map'!$B$4:$J$33, 9,FALSE)</f>
        <v>8</v>
      </c>
      <c r="E13" s="589">
        <f>VLOOKUP($B13,FunctionalityMapping!$B$5:$Q$34,16,FALSE)</f>
        <v>13</v>
      </c>
      <c r="F13" s="589">
        <f>VLOOKUP(B13,'Interoperability Assessment'!$B$4:$N$34,13,FALSE)</f>
        <v>7</v>
      </c>
      <c r="G13" s="172"/>
      <c r="H13" s="172"/>
      <c r="I13" s="172"/>
      <c r="J13" s="172"/>
    </row>
    <row r="14" spans="1:10" ht="16" x14ac:dyDescent="0.35">
      <c r="A14" s="335"/>
      <c r="B14" s="336" t="s">
        <v>2679</v>
      </c>
      <c r="C14" s="336" t="s">
        <v>447</v>
      </c>
      <c r="D14" s="588">
        <f>VLOOKUP(B14,'Heat Map'!$B$4:$J$33, 9,FALSE)</f>
        <v>8</v>
      </c>
      <c r="E14" s="589">
        <f>VLOOKUP($B14,FunctionalityMapping!$B$5:$Q$34,16,FALSE)</f>
        <v>8</v>
      </c>
      <c r="F14" s="589">
        <f>VLOOKUP(B14,'Interoperability Assessment'!$B$4:$N$34,13,FALSE)</f>
        <v>5</v>
      </c>
      <c r="G14" s="172"/>
      <c r="H14" s="172"/>
      <c r="I14" s="172"/>
      <c r="J14" s="172"/>
    </row>
    <row r="15" spans="1:10" ht="16" x14ac:dyDescent="0.35">
      <c r="A15" s="335"/>
      <c r="B15" s="336" t="s">
        <v>2764</v>
      </c>
      <c r="C15" s="336" t="s">
        <v>453</v>
      </c>
      <c r="D15" s="588">
        <f>VLOOKUP(B15,'Heat Map'!$B$4:$J$33, 9,FALSE)</f>
        <v>8</v>
      </c>
      <c r="E15" s="589">
        <f>VLOOKUP($B15,FunctionalityMapping!$B$5:$Q$34,16,FALSE)</f>
        <v>3</v>
      </c>
      <c r="F15" s="589">
        <f>VLOOKUP(B15,'Interoperability Assessment'!$B$4:$N$34,13,FALSE)</f>
        <v>10</v>
      </c>
      <c r="G15" s="172"/>
      <c r="H15" s="172"/>
      <c r="I15" s="172"/>
      <c r="J15" s="172"/>
    </row>
    <row r="16" spans="1:10" ht="16" x14ac:dyDescent="0.35">
      <c r="A16" s="335"/>
      <c r="B16" s="336" t="s">
        <v>2861</v>
      </c>
      <c r="C16" s="336" t="s">
        <v>474</v>
      </c>
      <c r="D16" s="588">
        <f>VLOOKUP(B16,'Heat Map'!$B$4:$J$33, 9,FALSE)</f>
        <v>8</v>
      </c>
      <c r="E16" s="589">
        <f>VLOOKUP($B16,FunctionalityMapping!$B$5:$Q$34,16,FALSE)</f>
        <v>6</v>
      </c>
      <c r="F16" s="589">
        <f>VLOOKUP(B16,'Interoperability Assessment'!$B$4:$N$34,13,FALSE)</f>
        <v>9</v>
      </c>
      <c r="G16" s="172"/>
      <c r="H16" s="172"/>
      <c r="I16" s="172"/>
      <c r="J16" s="172"/>
    </row>
    <row r="17" spans="1:10" ht="16" x14ac:dyDescent="0.35">
      <c r="A17" s="335"/>
      <c r="B17" s="336" t="s">
        <v>1784</v>
      </c>
      <c r="C17" s="336" t="s">
        <v>148</v>
      </c>
      <c r="D17" s="588">
        <f>VLOOKUP(B17,'Heat Map'!$B$4:$J$33, 9,FALSE)</f>
        <v>7</v>
      </c>
      <c r="E17" s="589">
        <f>VLOOKUP($B17,FunctionalityMapping!$B$5:$Q$34,16,FALSE)</f>
        <v>18</v>
      </c>
      <c r="F17" s="589">
        <f>VLOOKUP(B17,'Interoperability Assessment'!$B$4:$N$34,13,FALSE)</f>
        <v>10</v>
      </c>
      <c r="G17" s="172"/>
      <c r="H17" s="172"/>
      <c r="I17" s="172"/>
      <c r="J17" s="172"/>
    </row>
    <row r="18" spans="1:10" ht="16" x14ac:dyDescent="0.35">
      <c r="A18" s="335"/>
      <c r="B18" s="336" t="s">
        <v>570</v>
      </c>
      <c r="C18" s="336" t="s">
        <v>151</v>
      </c>
      <c r="D18" s="588">
        <f>VLOOKUP(B18,'Heat Map'!$B$4:$J$33, 9,FALSE)</f>
        <v>7</v>
      </c>
      <c r="E18" s="589">
        <f>VLOOKUP($B18,FunctionalityMapping!$B$5:$Q$34,16,FALSE)</f>
        <v>20</v>
      </c>
      <c r="F18" s="589">
        <f>VLOOKUP(B18,'Interoperability Assessment'!$B$4:$N$34,13,FALSE)</f>
        <v>10</v>
      </c>
      <c r="G18" s="172"/>
      <c r="H18" s="172"/>
      <c r="I18" s="172"/>
      <c r="J18" s="172"/>
    </row>
    <row r="19" spans="1:10" ht="16" x14ac:dyDescent="0.35">
      <c r="A19" s="335"/>
      <c r="B19" s="336" t="s">
        <v>631</v>
      </c>
      <c r="C19" s="336" t="s">
        <v>154</v>
      </c>
      <c r="D19" s="588">
        <f>VLOOKUP(B19,'Heat Map'!$B$4:$J$33, 9,FALSE)</f>
        <v>8</v>
      </c>
      <c r="E19" s="589">
        <f>VLOOKUP($B19,FunctionalityMapping!$B$5:$Q$34,16,FALSE)</f>
        <v>18</v>
      </c>
      <c r="F19" s="589">
        <f>VLOOKUP(B19,'Interoperability Assessment'!$B$4:$N$34,13,FALSE)</f>
        <v>11</v>
      </c>
      <c r="G19" s="172"/>
      <c r="H19" s="172"/>
      <c r="I19" s="172"/>
      <c r="J19" s="172"/>
    </row>
    <row r="20" spans="1:10" ht="16" x14ac:dyDescent="0.35">
      <c r="A20" s="335"/>
      <c r="B20" s="336" t="s">
        <v>670</v>
      </c>
      <c r="C20" s="336" t="s">
        <v>160</v>
      </c>
      <c r="D20" s="588">
        <f>VLOOKUP(B20,'Heat Map'!$B$4:$J$33, 9,FALSE)</f>
        <v>8</v>
      </c>
      <c r="E20" s="589">
        <f>VLOOKUP($B20,FunctionalityMapping!$B$5:$Q$34,16,FALSE)</f>
        <v>7</v>
      </c>
      <c r="F20" s="589">
        <f>VLOOKUP(B20,'Interoperability Assessment'!$B$4:$N$34,13,FALSE)</f>
        <v>7</v>
      </c>
      <c r="G20" s="172"/>
      <c r="H20" s="172"/>
      <c r="I20" s="172"/>
      <c r="J20" s="172"/>
    </row>
    <row r="21" spans="1:10" ht="16" x14ac:dyDescent="0.35">
      <c r="A21" s="335"/>
      <c r="B21" s="336" t="s">
        <v>689</v>
      </c>
      <c r="C21" s="336" t="s">
        <v>596</v>
      </c>
      <c r="D21" s="588">
        <f>VLOOKUP(B21,'Heat Map'!$B$4:$J$33, 9,FALSE)</f>
        <v>8</v>
      </c>
      <c r="E21" s="589">
        <f>VLOOKUP($B21,FunctionalityMapping!$B$5:$Q$34,16,FALSE)</f>
        <v>22</v>
      </c>
      <c r="F21" s="589">
        <f>VLOOKUP(B21,'Interoperability Assessment'!$B$4:$N$34,13,FALSE)</f>
        <v>15</v>
      </c>
      <c r="G21" s="172"/>
      <c r="H21" s="172"/>
      <c r="I21" s="172"/>
      <c r="J21" s="172"/>
    </row>
    <row r="22" spans="1:10" ht="16" x14ac:dyDescent="0.35">
      <c r="A22" s="335"/>
      <c r="B22" s="336" t="s">
        <v>958</v>
      </c>
      <c r="C22" s="336" t="s">
        <v>188</v>
      </c>
      <c r="D22" s="588">
        <f>VLOOKUP(B22,'Heat Map'!$B$4:$J$33, 9,FALSE)</f>
        <v>9</v>
      </c>
      <c r="E22" s="589">
        <f>VLOOKUP($B22,FunctionalityMapping!$B$5:$Q$34,16,FALSE)</f>
        <v>15</v>
      </c>
      <c r="F22" s="589">
        <f>VLOOKUP(B22,'Interoperability Assessment'!$B$4:$N$34,13,FALSE)</f>
        <v>14</v>
      </c>
      <c r="G22" s="172"/>
      <c r="H22" s="172"/>
      <c r="I22" s="172"/>
      <c r="J22" s="172"/>
    </row>
    <row r="23" spans="1:10" ht="16" x14ac:dyDescent="0.35">
      <c r="A23" s="335"/>
      <c r="B23" s="336" t="s">
        <v>1101</v>
      </c>
      <c r="C23" s="336" t="s">
        <v>269</v>
      </c>
      <c r="D23" s="588">
        <f>VLOOKUP(B23,'Heat Map'!$B$4:$J$33, 9,FALSE)</f>
        <v>8</v>
      </c>
      <c r="E23" s="589">
        <f>VLOOKUP($B23,FunctionalityMapping!$B$5:$Q$34,16,FALSE)</f>
        <v>19</v>
      </c>
      <c r="F23" s="589">
        <f>VLOOKUP(B23,'Interoperability Assessment'!$B$4:$N$34,13,FALSE)</f>
        <v>10</v>
      </c>
      <c r="G23" s="172"/>
      <c r="H23" s="172"/>
      <c r="I23" s="172"/>
      <c r="J23" s="172"/>
    </row>
    <row r="24" spans="1:10" ht="16" x14ac:dyDescent="0.35">
      <c r="A24" s="335"/>
      <c r="B24" s="336" t="s">
        <v>1177</v>
      </c>
      <c r="C24" s="336" t="s">
        <v>272</v>
      </c>
      <c r="D24" s="588">
        <f>VLOOKUP(B24,'Heat Map'!$B$4:$J$33, 9,FALSE)</f>
        <v>9</v>
      </c>
      <c r="E24" s="589">
        <f>VLOOKUP($B24,FunctionalityMapping!$B$5:$Q$34,16,FALSE)</f>
        <v>11</v>
      </c>
      <c r="F24" s="589">
        <f>VLOOKUP(B24,'Interoperability Assessment'!$B$4:$N$34,13,FALSE)</f>
        <v>10</v>
      </c>
      <c r="G24" s="172"/>
      <c r="H24" s="172"/>
      <c r="I24" s="172"/>
      <c r="J24" s="172"/>
    </row>
    <row r="25" spans="1:10" ht="16" x14ac:dyDescent="0.35">
      <c r="A25" s="335"/>
      <c r="B25" s="336" t="s">
        <v>1221</v>
      </c>
      <c r="C25" s="336" t="s">
        <v>275</v>
      </c>
      <c r="D25" s="588">
        <f>VLOOKUP(B25,'Heat Map'!$B$4:$J$33, 9,FALSE)</f>
        <v>6</v>
      </c>
      <c r="E25" s="589">
        <f>VLOOKUP($B25,FunctionalityMapping!$B$5:$Q$34,16,FALSE)</f>
        <v>20</v>
      </c>
      <c r="F25" s="589">
        <f>VLOOKUP(B25,'Interoperability Assessment'!$B$4:$N$34,13,FALSE)</f>
        <v>5</v>
      </c>
      <c r="G25" s="172"/>
      <c r="H25" s="172"/>
      <c r="I25" s="172"/>
      <c r="J25" s="172"/>
    </row>
    <row r="26" spans="1:10" ht="16" x14ac:dyDescent="0.35">
      <c r="A26" s="335"/>
      <c r="B26" s="336" t="s">
        <v>1266</v>
      </c>
      <c r="C26" s="336" t="s">
        <v>278</v>
      </c>
      <c r="D26" s="588">
        <f>VLOOKUP(B26,'Heat Map'!$B$4:$J$33, 9,FALSE)</f>
        <v>7</v>
      </c>
      <c r="E26" s="589">
        <f>VLOOKUP($B26,FunctionalityMapping!$B$5:$Q$34,16,FALSE)</f>
        <v>8</v>
      </c>
      <c r="F26" s="589">
        <f>VLOOKUP(B26,'Interoperability Assessment'!$B$4:$N$34,13,FALSE)</f>
        <v>10</v>
      </c>
      <c r="G26" s="172"/>
      <c r="H26" s="172"/>
      <c r="I26" s="172"/>
      <c r="J26" s="172"/>
    </row>
    <row r="27" spans="1:10" ht="16" x14ac:dyDescent="0.35">
      <c r="A27" s="335"/>
      <c r="B27" s="336" t="s">
        <v>1276</v>
      </c>
      <c r="C27" s="336" t="s">
        <v>281</v>
      </c>
      <c r="D27" s="588">
        <f>VLOOKUP(B27,'Heat Map'!$B$4:$J$33, 9,FALSE)</f>
        <v>7</v>
      </c>
      <c r="E27" s="589">
        <f>VLOOKUP($B27,FunctionalityMapping!$B$5:$Q$34,16,FALSE)</f>
        <v>18</v>
      </c>
      <c r="F27" s="589">
        <f>VLOOKUP(B27,'Interoperability Assessment'!$B$4:$N$34,13,FALSE)</f>
        <v>11</v>
      </c>
      <c r="G27" s="172"/>
      <c r="H27" s="172"/>
      <c r="I27" s="172"/>
      <c r="J27" s="172"/>
    </row>
    <row r="28" spans="1:10" ht="16" x14ac:dyDescent="0.35">
      <c r="A28" s="335"/>
      <c r="B28" s="336" t="s">
        <v>1411</v>
      </c>
      <c r="C28" s="336" t="s">
        <v>326</v>
      </c>
      <c r="D28" s="588">
        <f>VLOOKUP(B28,'Heat Map'!$B$4:$J$33, 9,FALSE)</f>
        <v>9</v>
      </c>
      <c r="E28" s="589">
        <f>VLOOKUP($B28,FunctionalityMapping!$B$5:$Q$34,16,FALSE)</f>
        <v>22</v>
      </c>
      <c r="F28" s="589">
        <f>VLOOKUP(B28,'Interoperability Assessment'!$B$4:$N$34,13,FALSE)</f>
        <v>13</v>
      </c>
      <c r="G28" s="172"/>
      <c r="H28" s="172"/>
      <c r="I28" s="172"/>
      <c r="J28" s="172"/>
    </row>
    <row r="29" spans="1:10" ht="16" x14ac:dyDescent="0.35">
      <c r="A29" s="335"/>
      <c r="B29" s="336" t="s">
        <v>1423</v>
      </c>
      <c r="C29" s="336" t="s">
        <v>3247</v>
      </c>
      <c r="D29" s="588">
        <f>VLOOKUP(B29,'Heat Map'!$B$4:$J$33, 9,FALSE)</f>
        <v>9</v>
      </c>
      <c r="E29" s="589">
        <f>VLOOKUP($B29,FunctionalityMapping!$B$5:$Q$34,16,FALSE)</f>
        <v>7</v>
      </c>
      <c r="F29" s="589">
        <f>VLOOKUP(B29,'Interoperability Assessment'!$B$4:$N$34,13,FALSE)</f>
        <v>12</v>
      </c>
      <c r="G29" s="172"/>
      <c r="H29" s="172"/>
      <c r="I29" s="172"/>
      <c r="J29" s="172"/>
    </row>
    <row r="30" spans="1:10" ht="16" x14ac:dyDescent="0.35">
      <c r="A30" s="335"/>
      <c r="B30" s="336" t="s">
        <v>1595</v>
      </c>
      <c r="C30" s="336" t="s">
        <v>393</v>
      </c>
      <c r="D30" s="588">
        <f>VLOOKUP(B30,'Heat Map'!$B$4:$J$33, 9,FALSE)</f>
        <v>4</v>
      </c>
      <c r="E30" s="589">
        <f>VLOOKUP($B30,FunctionalityMapping!$B$5:$Q$34,16,FALSE)</f>
        <v>11</v>
      </c>
      <c r="F30" s="589">
        <f>VLOOKUP(B30,'Interoperability Assessment'!$B$4:$N$34,13,FALSE)</f>
        <v>9</v>
      </c>
      <c r="G30" s="172"/>
      <c r="H30" s="172"/>
      <c r="I30" s="172"/>
      <c r="J30" s="172"/>
    </row>
    <row r="31" spans="1:10" ht="16" x14ac:dyDescent="0.35">
      <c r="A31" s="335"/>
      <c r="B31" s="336" t="s">
        <v>1626</v>
      </c>
      <c r="C31" s="336" t="s">
        <v>398</v>
      </c>
      <c r="D31" s="588">
        <f>VLOOKUP(B31,'Heat Map'!$B$4:$J$33, 9,FALSE)</f>
        <v>4</v>
      </c>
      <c r="E31" s="589">
        <f>VLOOKUP($B31,FunctionalityMapping!$B$5:$Q$34,16,FALSE)</f>
        <v>13</v>
      </c>
      <c r="F31" s="589">
        <f>VLOOKUP(B31,'Interoperability Assessment'!$B$4:$N$34,13,FALSE)</f>
        <v>4</v>
      </c>
      <c r="G31" s="172"/>
      <c r="H31" s="172"/>
      <c r="I31" s="172"/>
      <c r="J31" s="172"/>
    </row>
    <row r="32" spans="1:10" ht="16" x14ac:dyDescent="0.35">
      <c r="A32" s="335"/>
      <c r="B32" s="336" t="s">
        <v>2978</v>
      </c>
      <c r="C32" s="336" t="s">
        <v>225</v>
      </c>
      <c r="D32" s="588">
        <f>VLOOKUP(B32,'Heat Map'!$B$4:$J$33, 9,FALSE)</f>
        <v>9</v>
      </c>
      <c r="E32" s="589">
        <f>VLOOKUP($B32,FunctionalityMapping!$B$5:$Q$34,16,FALSE)</f>
        <v>2</v>
      </c>
      <c r="F32" s="589">
        <f>VLOOKUP(B32,'Interoperability Assessment'!$B$4:$N$34,13,FALSE)</f>
        <v>8</v>
      </c>
      <c r="G32" s="172"/>
      <c r="H32" s="172"/>
      <c r="I32" s="172"/>
      <c r="J32" s="172"/>
    </row>
    <row r="33" spans="1:10" ht="16" x14ac:dyDescent="0.35">
      <c r="A33" s="335"/>
      <c r="B33" s="336" t="s">
        <v>1891</v>
      </c>
      <c r="C33" s="336" t="s">
        <v>3443</v>
      </c>
      <c r="D33" s="588">
        <f>VLOOKUP(B33,'Heat Map'!$B$4:$J$33, 9,FALSE)</f>
        <v>8</v>
      </c>
      <c r="E33" s="589">
        <f>VLOOKUP($B33,FunctionalityMapping!$B$5:$Q$34,16,FALSE)</f>
        <v>19</v>
      </c>
      <c r="F33" s="589">
        <f>VLOOKUP(B33,'Interoperability Assessment'!$B$4:$N$34,13,FALSE)</f>
        <v>17</v>
      </c>
      <c r="G33" s="172"/>
      <c r="H33" s="172"/>
      <c r="I33" s="172"/>
      <c r="J33" s="172"/>
    </row>
    <row r="34" spans="1:10" ht="16" x14ac:dyDescent="0.35">
      <c r="A34" s="373"/>
      <c r="B34" s="404" t="s">
        <v>3080</v>
      </c>
      <c r="C34" s="336" t="s">
        <v>417</v>
      </c>
      <c r="D34" s="588">
        <f>VLOOKUP(B34,'Heat Map'!$B$4:$J$33, 9,FALSE)</f>
        <v>8</v>
      </c>
      <c r="E34" s="589">
        <f>VLOOKUP($B34,FunctionalityMapping!$B$5:$Q$34,16,FALSE)</f>
        <v>18</v>
      </c>
      <c r="F34" s="589">
        <f>VLOOKUP(B34,'Interoperability Assessment'!$B$4:$N$34,13,FALSE)</f>
        <v>5</v>
      </c>
      <c r="G34" s="172"/>
      <c r="H34" s="172"/>
      <c r="I34" s="172"/>
      <c r="J34" s="172"/>
    </row>
    <row r="35" spans="1:10" ht="16" customHeight="1" x14ac:dyDescent="0.4">
      <c r="B35" s="405" t="s">
        <v>851</v>
      </c>
      <c r="C35" s="406" t="s">
        <v>123</v>
      </c>
      <c r="D35" s="590">
        <f>VLOOKUP(B35,'Heat Map'!$B$4:$J$33, 9,FALSE)</f>
        <v>8</v>
      </c>
      <c r="E35" s="115">
        <f>VLOOKUP($B35,FunctionalityMapping!$B$5:$Q$34,16,FALSE)</f>
        <v>22</v>
      </c>
      <c r="F35" s="115">
        <f>VLOOKUP(B35,'Interoperability Assessment'!$B$4:$N$34,13,FALSE)</f>
        <v>13</v>
      </c>
      <c r="G35" s="172"/>
      <c r="H35" s="172"/>
      <c r="I35" s="172"/>
      <c r="J35" s="172"/>
    </row>
    <row r="36" spans="1:10" x14ac:dyDescent="0.35">
      <c r="B36" s="172"/>
      <c r="C36" s="172"/>
      <c r="D36" s="172"/>
      <c r="E36" s="172"/>
      <c r="F36" s="172"/>
      <c r="G36" s="172"/>
      <c r="H36" s="172"/>
    </row>
    <row r="37" spans="1:10" x14ac:dyDescent="0.35">
      <c r="B37" s="172"/>
      <c r="C37" s="172"/>
      <c r="D37" s="172"/>
      <c r="E37" s="172"/>
      <c r="F37" s="172"/>
      <c r="G37" s="172"/>
      <c r="H37" s="172"/>
    </row>
    <row r="38" spans="1:10" x14ac:dyDescent="0.35">
      <c r="B38" s="172"/>
      <c r="C38" s="172"/>
      <c r="D38" s="172"/>
      <c r="E38" s="172"/>
      <c r="F38" s="172"/>
      <c r="G38" s="172"/>
      <c r="H38" s="172"/>
    </row>
    <row r="39" spans="1:10" x14ac:dyDescent="0.35">
      <c r="B39" s="172"/>
      <c r="C39" s="172"/>
      <c r="D39" s="172"/>
      <c r="E39" s="172"/>
      <c r="F39" s="172"/>
      <c r="G39" s="172"/>
      <c r="H39" s="172"/>
    </row>
  </sheetData>
  <mergeCells count="7">
    <mergeCell ref="B1:F2"/>
    <mergeCell ref="D3:D5"/>
    <mergeCell ref="E3:E5"/>
    <mergeCell ref="F3:F5"/>
    <mergeCell ref="A4:A5"/>
    <mergeCell ref="C3:C5"/>
    <mergeCell ref="B3:B5"/>
  </mergeCells>
  <conditionalFormatting sqref="B6">
    <cfRule type="duplicateValues" dxfId="57" priority="37"/>
  </conditionalFormatting>
  <conditionalFormatting sqref="B7">
    <cfRule type="duplicateValues" dxfId="56" priority="17"/>
  </conditionalFormatting>
  <conditionalFormatting sqref="B8">
    <cfRule type="duplicateValues" dxfId="55" priority="16"/>
  </conditionalFormatting>
  <conditionalFormatting sqref="B9">
    <cfRule type="duplicateValues" dxfId="54" priority="10"/>
  </conditionalFormatting>
  <conditionalFormatting sqref="B10">
    <cfRule type="duplicateValues" dxfId="53" priority="32"/>
  </conditionalFormatting>
  <conditionalFormatting sqref="B11">
    <cfRule type="duplicateValues" dxfId="52" priority="31"/>
  </conditionalFormatting>
  <conditionalFormatting sqref="B12">
    <cfRule type="duplicateValues" dxfId="51" priority="38"/>
  </conditionalFormatting>
  <conditionalFormatting sqref="B13">
    <cfRule type="duplicateValues" dxfId="50" priority="30"/>
  </conditionalFormatting>
  <conditionalFormatting sqref="B14">
    <cfRule type="duplicateValues" dxfId="49" priority="29"/>
  </conditionalFormatting>
  <conditionalFormatting sqref="B15">
    <cfRule type="duplicateValues" dxfId="48" priority="12"/>
  </conditionalFormatting>
  <conditionalFormatting sqref="B16">
    <cfRule type="duplicateValues" dxfId="47" priority="33"/>
  </conditionalFormatting>
  <conditionalFormatting sqref="B17">
    <cfRule type="duplicateValues" dxfId="46" priority="15"/>
  </conditionalFormatting>
  <conditionalFormatting sqref="B18">
    <cfRule type="duplicateValues" dxfId="45" priority="14"/>
  </conditionalFormatting>
  <conditionalFormatting sqref="B19">
    <cfRule type="duplicateValues" dxfId="44" priority="13"/>
  </conditionalFormatting>
  <conditionalFormatting sqref="B20">
    <cfRule type="duplicateValues" dxfId="43" priority="20"/>
  </conditionalFormatting>
  <conditionalFormatting sqref="B21">
    <cfRule type="duplicateValues" dxfId="42" priority="19"/>
  </conditionalFormatting>
  <conditionalFormatting sqref="B22">
    <cfRule type="duplicateValues" dxfId="41" priority="24"/>
  </conditionalFormatting>
  <conditionalFormatting sqref="B23">
    <cfRule type="duplicateValues" dxfId="40" priority="23"/>
  </conditionalFormatting>
  <conditionalFormatting sqref="B24">
    <cfRule type="duplicateValues" dxfId="39" priority="36"/>
  </conditionalFormatting>
  <conditionalFormatting sqref="B25">
    <cfRule type="duplicateValues" dxfId="38" priority="21"/>
  </conditionalFormatting>
  <conditionalFormatting sqref="B26">
    <cfRule type="duplicateValues" dxfId="37" priority="35"/>
  </conditionalFormatting>
  <conditionalFormatting sqref="B27">
    <cfRule type="duplicateValues" dxfId="36" priority="22"/>
  </conditionalFormatting>
  <conditionalFormatting sqref="B28">
    <cfRule type="duplicateValues" dxfId="35" priority="34"/>
  </conditionalFormatting>
  <conditionalFormatting sqref="B29">
    <cfRule type="duplicateValues" dxfId="34" priority="18"/>
  </conditionalFormatting>
  <conditionalFormatting sqref="B30">
    <cfRule type="duplicateValues" dxfId="33" priority="28"/>
  </conditionalFormatting>
  <conditionalFormatting sqref="B31">
    <cfRule type="duplicateValues" dxfId="32" priority="27"/>
  </conditionalFormatting>
  <conditionalFormatting sqref="B32">
    <cfRule type="duplicateValues" dxfId="31" priority="11"/>
  </conditionalFormatting>
  <conditionalFormatting sqref="B33">
    <cfRule type="duplicateValues" dxfId="30" priority="26"/>
  </conditionalFormatting>
  <conditionalFormatting sqref="B34">
    <cfRule type="duplicateValues" dxfId="29" priority="25"/>
  </conditionalFormatting>
  <conditionalFormatting sqref="D6:D35">
    <cfRule type="colorScale" priority="7">
      <colorScale>
        <cfvo type="min"/>
        <cfvo type="max"/>
        <color theme="0"/>
        <color rgb="FF88428A"/>
      </colorScale>
    </cfRule>
    <cfRule type="colorScale" priority="4">
      <colorScale>
        <cfvo type="num" val="2"/>
        <cfvo type="max"/>
        <color theme="0"/>
        <color rgb="FFFFEF9C"/>
      </colorScale>
    </cfRule>
    <cfRule type="colorScale" priority="3">
      <colorScale>
        <cfvo type="num" val="2"/>
        <cfvo type="num" val="9"/>
        <color theme="0"/>
        <color rgb="FF88428A"/>
      </colorScale>
    </cfRule>
    <cfRule type="colorScale" priority="1">
      <colorScale>
        <cfvo type="num" val="1"/>
        <cfvo type="num" val="9"/>
        <color theme="0" tint="-4.9989318521683403E-2"/>
        <color rgb="FF88428A"/>
      </colorScale>
    </cfRule>
  </conditionalFormatting>
  <conditionalFormatting sqref="E6:E35">
    <cfRule type="colorScale" priority="5">
      <colorScale>
        <cfvo type="num" val="0"/>
        <cfvo type="num" val="33"/>
        <color theme="0"/>
        <color rgb="FF88428A"/>
      </colorScale>
    </cfRule>
    <cfRule type="colorScale" priority="2">
      <colorScale>
        <cfvo type="num" val="0"/>
        <cfvo type="num" val="36"/>
        <color theme="0" tint="-4.9989318521683403E-2"/>
        <color rgb="FF88428A"/>
      </colorScale>
    </cfRule>
  </conditionalFormatting>
  <conditionalFormatting sqref="E6:F35">
    <cfRule type="colorScale" priority="9">
      <colorScale>
        <cfvo type="min"/>
        <cfvo type="max"/>
        <color rgb="FFFCFCFF"/>
        <color rgb="FF63BE7B"/>
      </colorScale>
    </cfRule>
    <cfRule type="colorScale" priority="8">
      <colorScale>
        <cfvo type="min"/>
        <cfvo type="max"/>
        <color theme="0" tint="-4.9989318521683403E-2"/>
        <color rgb="FF88428A"/>
      </colorScale>
    </cfRule>
  </conditionalFormatting>
  <conditionalFormatting sqref="F6:F35">
    <cfRule type="colorScale" priority="6">
      <colorScale>
        <cfvo type="num" val="0"/>
        <cfvo type="num" val="20"/>
        <color theme="0"/>
        <color rgb="FF88428A"/>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E1DC-DC67-4241-88EF-DD963BF45D23}">
  <sheetPr codeName="Sheet2">
    <tabColor rgb="FFBAE18F"/>
  </sheetPr>
  <dimension ref="A1:AC48"/>
  <sheetViews>
    <sheetView zoomScale="79" zoomScaleNormal="70" workbookViewId="0">
      <selection activeCell="C38" sqref="C38"/>
    </sheetView>
  </sheetViews>
  <sheetFormatPr defaultRowHeight="14.5" x14ac:dyDescent="0.35"/>
  <cols>
    <col min="1" max="1" width="8.7265625" customWidth="1"/>
    <col min="2" max="2" width="58.54296875" bestFit="1" customWidth="1"/>
    <col min="3" max="3" width="21.453125" customWidth="1"/>
    <col min="12" max="12" width="12.54296875" bestFit="1" customWidth="1"/>
    <col min="14" max="14" width="11.81640625" style="13" customWidth="1"/>
    <col min="15" max="15" width="11.453125" customWidth="1"/>
    <col min="16" max="16" width="10.81640625" customWidth="1"/>
    <col min="17" max="17" width="12.81640625" customWidth="1"/>
    <col min="18" max="18" width="6.1796875" customWidth="1"/>
    <col min="24" max="24" width="35.54296875" bestFit="1" customWidth="1"/>
    <col min="29" max="29" width="13.90625" customWidth="1"/>
  </cols>
  <sheetData>
    <row r="1" spans="1:29" ht="20.149999999999999" customHeight="1" x14ac:dyDescent="0.35">
      <c r="C1" s="30" t="s">
        <v>30</v>
      </c>
      <c r="D1" s="426" t="s">
        <v>31</v>
      </c>
      <c r="E1" s="427"/>
      <c r="F1" s="427"/>
      <c r="G1" s="428"/>
      <c r="H1" s="429" t="s">
        <v>32</v>
      </c>
      <c r="I1" s="430"/>
      <c r="J1" s="430"/>
      <c r="K1" s="430"/>
      <c r="L1" s="431"/>
      <c r="M1" s="433" t="s">
        <v>33</v>
      </c>
      <c r="N1" s="434"/>
      <c r="O1" s="434"/>
      <c r="P1" s="434"/>
      <c r="Q1" s="434"/>
      <c r="R1" s="435"/>
    </row>
    <row r="2" spans="1:29" ht="21.65" customHeight="1" x14ac:dyDescent="0.35">
      <c r="A2" s="48" t="s">
        <v>34</v>
      </c>
      <c r="B2" s="47" t="s">
        <v>35</v>
      </c>
      <c r="C2" s="3" t="s">
        <v>36</v>
      </c>
      <c r="D2" s="100" t="s">
        <v>37</v>
      </c>
      <c r="E2" s="70" t="s">
        <v>38</v>
      </c>
      <c r="F2" s="70" t="s">
        <v>39</v>
      </c>
      <c r="G2" s="3" t="s">
        <v>40</v>
      </c>
      <c r="H2" s="22" t="s">
        <v>37</v>
      </c>
      <c r="I2" s="22" t="s">
        <v>38</v>
      </c>
      <c r="J2" s="22" t="s">
        <v>39</v>
      </c>
      <c r="K2" s="22" t="s">
        <v>40</v>
      </c>
      <c r="L2" s="22" t="s">
        <v>41</v>
      </c>
      <c r="M2" s="23" t="s">
        <v>42</v>
      </c>
      <c r="N2" s="126" t="s">
        <v>43</v>
      </c>
      <c r="O2" s="104" t="s">
        <v>44</v>
      </c>
      <c r="P2" s="103" t="s">
        <v>45</v>
      </c>
      <c r="Q2" s="432" t="s">
        <v>46</v>
      </c>
      <c r="R2" s="432"/>
      <c r="V2" s="424" t="s">
        <v>47</v>
      </c>
      <c r="W2" s="424"/>
      <c r="X2" s="424"/>
      <c r="Y2" s="424"/>
      <c r="Z2" s="424"/>
      <c r="AA2" s="424"/>
      <c r="AB2" s="424"/>
      <c r="AC2" s="424"/>
    </row>
    <row r="3" spans="1:29" ht="16" x14ac:dyDescent="0.35">
      <c r="A3" s="4">
        <v>1</v>
      </c>
      <c r="B3" s="6" t="s">
        <v>48</v>
      </c>
      <c r="C3" s="43" t="str">
        <f t="shared" ref="C3:C36" si="0">IF(P3=1,"Priority 1",IF(O3=1, "Priority 2","Priority 3"))</f>
        <v>Priority 1</v>
      </c>
      <c r="D3" s="68" t="s">
        <v>49</v>
      </c>
      <c r="E3" s="71" t="s">
        <v>49</v>
      </c>
      <c r="F3" s="71" t="s">
        <v>49</v>
      </c>
      <c r="G3" s="24" t="s">
        <v>49</v>
      </c>
      <c r="H3" s="11">
        <f>+IF(D3="Priority 1",1,IF(D3="Priority 2",0.5,0))</f>
        <v>1</v>
      </c>
      <c r="I3" s="11">
        <f t="shared" ref="I3:K36" si="1">+IF(E3="Priority 1",1,IF(E3="Priority 2",0.5,0))</f>
        <v>1</v>
      </c>
      <c r="J3" s="11">
        <f t="shared" si="1"/>
        <v>1</v>
      </c>
      <c r="K3" s="11">
        <f t="shared" si="1"/>
        <v>1</v>
      </c>
      <c r="L3" s="26">
        <f>+SUM(H3:K3)/4</f>
        <v>1</v>
      </c>
      <c r="M3" s="16">
        <f>+IF(L3&gt;0.49,1,0)</f>
        <v>1</v>
      </c>
      <c r="N3" s="35">
        <f t="shared" ref="N3:N36" si="2">+IF(AND(L3&gt;0.49,L3&lt;0.59),1,0)</f>
        <v>0</v>
      </c>
      <c r="O3" s="11">
        <f t="shared" ref="O3:O36" si="3">+IF(AND(L3&gt;0.6,L3&lt;0.74),1,0)</f>
        <v>0</v>
      </c>
      <c r="P3" s="17">
        <f>+IF(L3&gt;0.74,1,0)</f>
        <v>1</v>
      </c>
      <c r="Q3" s="16">
        <f>+IF(OR(H3=1,I3=1,J3=1,K3=1),1,0)</f>
        <v>1</v>
      </c>
      <c r="R3" s="17">
        <f>+M3-Q3</f>
        <v>0</v>
      </c>
      <c r="V3" s="41" t="s">
        <v>49</v>
      </c>
      <c r="W3" s="157" t="s">
        <v>50</v>
      </c>
      <c r="X3" s="157"/>
      <c r="Y3" s="157"/>
      <c r="Z3" s="157"/>
      <c r="AA3" s="157"/>
      <c r="AB3" s="157"/>
      <c r="AC3" s="157"/>
    </row>
    <row r="4" spans="1:29" ht="16" x14ac:dyDescent="0.35">
      <c r="A4" s="5">
        <v>2</v>
      </c>
      <c r="B4" s="6" t="s">
        <v>51</v>
      </c>
      <c r="C4" s="44" t="str">
        <f t="shared" si="0"/>
        <v>Priority 2</v>
      </c>
      <c r="D4" s="68" t="s">
        <v>49</v>
      </c>
      <c r="E4" s="71" t="s">
        <v>52</v>
      </c>
      <c r="F4" s="71" t="s">
        <v>52</v>
      </c>
      <c r="G4" s="24" t="s">
        <v>52</v>
      </c>
      <c r="H4" s="11">
        <f t="shared" ref="H4:H36" si="4">+IF(D4="Priority 1",1,IF(D4="Priority 2",0.5,0))</f>
        <v>1</v>
      </c>
      <c r="I4" s="11">
        <f t="shared" si="1"/>
        <v>0.5</v>
      </c>
      <c r="J4" s="11">
        <f t="shared" si="1"/>
        <v>0.5</v>
      </c>
      <c r="K4" s="11">
        <f t="shared" si="1"/>
        <v>0.5</v>
      </c>
      <c r="L4" s="26">
        <f t="shared" ref="L4:L36" si="5">+SUM(H4:K4)/4</f>
        <v>0.625</v>
      </c>
      <c r="M4" s="16">
        <f t="shared" ref="M4:M36" si="6">+IF(L4&gt;0.49,1,0)</f>
        <v>1</v>
      </c>
      <c r="N4" s="35">
        <f t="shared" si="2"/>
        <v>0</v>
      </c>
      <c r="O4" s="11">
        <f t="shared" si="3"/>
        <v>1</v>
      </c>
      <c r="P4" s="17">
        <f t="shared" ref="P4:P36" si="7">+IF(L4&gt;0.74,1,0)</f>
        <v>0</v>
      </c>
      <c r="Q4" s="16">
        <f t="shared" ref="Q4:Q36" si="8">+IF(OR(H4=1,I4=1,J4=1,K4=1),1,0)</f>
        <v>1</v>
      </c>
      <c r="R4" s="17">
        <f t="shared" ref="R4:R36" si="9">+M4-Q4</f>
        <v>0</v>
      </c>
      <c r="V4" s="41" t="s">
        <v>52</v>
      </c>
      <c r="W4" s="425" t="s">
        <v>53</v>
      </c>
      <c r="X4" s="425"/>
      <c r="Y4" s="425"/>
      <c r="Z4" s="425"/>
      <c r="AA4" s="425"/>
      <c r="AB4" s="425"/>
      <c r="AC4" s="425"/>
    </row>
    <row r="5" spans="1:29" ht="16" x14ac:dyDescent="0.35">
      <c r="A5" s="5">
        <v>3</v>
      </c>
      <c r="B5" s="6" t="s">
        <v>54</v>
      </c>
      <c r="C5" s="45" t="str">
        <f t="shared" si="0"/>
        <v>Priority 3</v>
      </c>
      <c r="D5" s="68" t="s">
        <v>55</v>
      </c>
      <c r="E5" s="71" t="s">
        <v>49</v>
      </c>
      <c r="F5" s="71" t="s">
        <v>55</v>
      </c>
      <c r="G5" s="24" t="s">
        <v>55</v>
      </c>
      <c r="H5" s="11">
        <f t="shared" si="4"/>
        <v>0</v>
      </c>
      <c r="I5" s="11">
        <f t="shared" si="1"/>
        <v>1</v>
      </c>
      <c r="J5" s="11">
        <f t="shared" si="1"/>
        <v>0</v>
      </c>
      <c r="K5" s="11">
        <f t="shared" si="1"/>
        <v>0</v>
      </c>
      <c r="L5" s="26">
        <f t="shared" si="5"/>
        <v>0.25</v>
      </c>
      <c r="M5" s="16">
        <f t="shared" si="6"/>
        <v>0</v>
      </c>
      <c r="N5" s="35">
        <f t="shared" si="2"/>
        <v>0</v>
      </c>
      <c r="O5" s="11">
        <f t="shared" si="3"/>
        <v>0</v>
      </c>
      <c r="P5" s="17">
        <f t="shared" si="7"/>
        <v>0</v>
      </c>
      <c r="Q5" s="16">
        <f t="shared" si="8"/>
        <v>1</v>
      </c>
      <c r="R5" s="17">
        <f>+M5-Q5</f>
        <v>-1</v>
      </c>
      <c r="V5" s="41" t="s">
        <v>55</v>
      </c>
      <c r="W5" s="425" t="s">
        <v>56</v>
      </c>
      <c r="X5" s="425"/>
      <c r="Y5" s="425"/>
      <c r="Z5" s="425"/>
      <c r="AA5" s="425"/>
      <c r="AB5" s="425"/>
      <c r="AC5" s="425"/>
    </row>
    <row r="6" spans="1:29" ht="16" x14ac:dyDescent="0.35">
      <c r="A6" s="5">
        <v>4</v>
      </c>
      <c r="B6" s="6" t="s">
        <v>57</v>
      </c>
      <c r="C6" s="45" t="str">
        <f t="shared" si="0"/>
        <v>Priority 3</v>
      </c>
      <c r="D6" s="68" t="s">
        <v>55</v>
      </c>
      <c r="E6" s="71" t="s">
        <v>55</v>
      </c>
      <c r="F6" s="71" t="s">
        <v>49</v>
      </c>
      <c r="G6" s="24" t="s">
        <v>52</v>
      </c>
      <c r="H6" s="11">
        <f t="shared" si="4"/>
        <v>0</v>
      </c>
      <c r="I6" s="11">
        <f t="shared" si="1"/>
        <v>0</v>
      </c>
      <c r="J6" s="11">
        <f t="shared" si="1"/>
        <v>1</v>
      </c>
      <c r="K6" s="11">
        <f t="shared" si="1"/>
        <v>0.5</v>
      </c>
      <c r="L6" s="26">
        <f t="shared" si="5"/>
        <v>0.375</v>
      </c>
      <c r="M6" s="16">
        <f t="shared" si="6"/>
        <v>0</v>
      </c>
      <c r="N6" s="35">
        <f t="shared" si="2"/>
        <v>0</v>
      </c>
      <c r="O6" s="11">
        <f t="shared" si="3"/>
        <v>0</v>
      </c>
      <c r="P6" s="17">
        <f t="shared" si="7"/>
        <v>0</v>
      </c>
      <c r="Q6" s="16">
        <f t="shared" si="8"/>
        <v>1</v>
      </c>
      <c r="R6" s="17">
        <f t="shared" si="9"/>
        <v>-1</v>
      </c>
    </row>
    <row r="7" spans="1:29" ht="16" x14ac:dyDescent="0.35">
      <c r="A7" s="5">
        <v>5</v>
      </c>
      <c r="B7" s="6" t="s">
        <v>58</v>
      </c>
      <c r="C7" s="352" t="str">
        <f t="shared" si="0"/>
        <v>Priority 3</v>
      </c>
      <c r="D7" s="68" t="s">
        <v>55</v>
      </c>
      <c r="E7" s="71" t="s">
        <v>55</v>
      </c>
      <c r="F7" s="71" t="s">
        <v>55</v>
      </c>
      <c r="G7" s="24" t="s">
        <v>55</v>
      </c>
      <c r="H7" s="11">
        <f t="shared" si="4"/>
        <v>0</v>
      </c>
      <c r="I7" s="11">
        <f t="shared" si="1"/>
        <v>0</v>
      </c>
      <c r="J7" s="11">
        <f t="shared" si="1"/>
        <v>0</v>
      </c>
      <c r="K7" s="11">
        <f t="shared" si="1"/>
        <v>0</v>
      </c>
      <c r="L7" s="26">
        <f t="shared" si="5"/>
        <v>0</v>
      </c>
      <c r="M7" s="16">
        <f t="shared" si="6"/>
        <v>0</v>
      </c>
      <c r="N7" s="35">
        <f t="shared" si="2"/>
        <v>0</v>
      </c>
      <c r="O7" s="11">
        <f t="shared" si="3"/>
        <v>0</v>
      </c>
      <c r="P7" s="17">
        <f t="shared" si="7"/>
        <v>0</v>
      </c>
      <c r="Q7" s="16">
        <f t="shared" si="8"/>
        <v>0</v>
      </c>
      <c r="R7" s="17">
        <f t="shared" si="9"/>
        <v>0</v>
      </c>
      <c r="V7" s="424" t="s">
        <v>59</v>
      </c>
      <c r="W7" s="424"/>
      <c r="X7" s="424"/>
    </row>
    <row r="8" spans="1:29" ht="16" x14ac:dyDescent="0.35">
      <c r="A8" s="5">
        <v>6</v>
      </c>
      <c r="B8" s="6" t="s">
        <v>60</v>
      </c>
      <c r="C8" s="354" t="str">
        <f t="shared" si="0"/>
        <v>Priority 3</v>
      </c>
      <c r="D8" s="120" t="s">
        <v>55</v>
      </c>
      <c r="E8" s="71" t="s">
        <v>52</v>
      </c>
      <c r="F8" s="71" t="s">
        <v>55</v>
      </c>
      <c r="G8" s="24" t="s">
        <v>55</v>
      </c>
      <c r="H8" s="11">
        <f t="shared" si="4"/>
        <v>0</v>
      </c>
      <c r="I8" s="11">
        <f t="shared" si="1"/>
        <v>0.5</v>
      </c>
      <c r="J8" s="11">
        <f t="shared" si="1"/>
        <v>0</v>
      </c>
      <c r="K8" s="11">
        <f t="shared" si="1"/>
        <v>0</v>
      </c>
      <c r="L8" s="26">
        <f t="shared" si="5"/>
        <v>0.125</v>
      </c>
      <c r="M8" s="16">
        <f t="shared" si="6"/>
        <v>0</v>
      </c>
      <c r="N8" s="35">
        <f t="shared" si="2"/>
        <v>0</v>
      </c>
      <c r="O8" s="11">
        <f t="shared" si="3"/>
        <v>0</v>
      </c>
      <c r="P8" s="17">
        <f t="shared" si="7"/>
        <v>0</v>
      </c>
      <c r="Q8" s="16">
        <f t="shared" si="8"/>
        <v>0</v>
      </c>
      <c r="R8" s="17">
        <f t="shared" si="9"/>
        <v>0</v>
      </c>
      <c r="U8" s="1"/>
      <c r="V8" s="49">
        <f>P38</f>
        <v>6</v>
      </c>
      <c r="W8" s="285" t="s">
        <v>61</v>
      </c>
      <c r="X8" s="41" t="s">
        <v>62</v>
      </c>
    </row>
    <row r="9" spans="1:29" ht="16" x14ac:dyDescent="0.35">
      <c r="A9" s="5">
        <v>7</v>
      </c>
      <c r="B9" s="6" t="s">
        <v>63</v>
      </c>
      <c r="C9" s="353" t="str">
        <f t="shared" si="0"/>
        <v>Priority 3</v>
      </c>
      <c r="D9" s="68" t="s">
        <v>52</v>
      </c>
      <c r="E9" s="71" t="s">
        <v>55</v>
      </c>
      <c r="F9" s="71" t="s">
        <v>49</v>
      </c>
      <c r="G9" s="24" t="s">
        <v>52</v>
      </c>
      <c r="H9" s="11">
        <f t="shared" si="4"/>
        <v>0.5</v>
      </c>
      <c r="I9" s="11">
        <f t="shared" si="1"/>
        <v>0</v>
      </c>
      <c r="J9" s="11">
        <f t="shared" si="1"/>
        <v>1</v>
      </c>
      <c r="K9" s="11">
        <f t="shared" si="1"/>
        <v>0.5</v>
      </c>
      <c r="L9" s="26">
        <f t="shared" si="5"/>
        <v>0.5</v>
      </c>
      <c r="M9" s="16">
        <f t="shared" si="6"/>
        <v>1</v>
      </c>
      <c r="N9" s="35">
        <f t="shared" si="2"/>
        <v>1</v>
      </c>
      <c r="O9" s="11">
        <f t="shared" si="3"/>
        <v>0</v>
      </c>
      <c r="P9" s="17">
        <f t="shared" si="7"/>
        <v>0</v>
      </c>
      <c r="Q9" s="16">
        <f t="shared" si="8"/>
        <v>1</v>
      </c>
      <c r="R9" s="17">
        <f t="shared" si="9"/>
        <v>0</v>
      </c>
      <c r="U9" s="1"/>
      <c r="V9" s="50">
        <f>O38</f>
        <v>2</v>
      </c>
      <c r="W9" s="286" t="s">
        <v>52</v>
      </c>
      <c r="X9" s="41" t="s">
        <v>44</v>
      </c>
    </row>
    <row r="10" spans="1:29" ht="16" x14ac:dyDescent="0.35">
      <c r="A10" s="5">
        <v>8</v>
      </c>
      <c r="B10" s="6" t="s">
        <v>64</v>
      </c>
      <c r="C10" s="352" t="str">
        <f t="shared" si="0"/>
        <v>Priority 3</v>
      </c>
      <c r="D10" s="68" t="s">
        <v>55</v>
      </c>
      <c r="E10" s="71" t="s">
        <v>52</v>
      </c>
      <c r="F10" s="71" t="s">
        <v>55</v>
      </c>
      <c r="G10" s="24" t="s">
        <v>52</v>
      </c>
      <c r="H10" s="11">
        <f t="shared" si="4"/>
        <v>0</v>
      </c>
      <c r="I10" s="11">
        <f t="shared" si="1"/>
        <v>0.5</v>
      </c>
      <c r="J10" s="11">
        <f t="shared" si="1"/>
        <v>0</v>
      </c>
      <c r="K10" s="11">
        <f t="shared" si="1"/>
        <v>0.5</v>
      </c>
      <c r="L10" s="26">
        <f t="shared" si="5"/>
        <v>0.25</v>
      </c>
      <c r="M10" s="16">
        <f t="shared" si="6"/>
        <v>0</v>
      </c>
      <c r="N10" s="35">
        <f t="shared" si="2"/>
        <v>0</v>
      </c>
      <c r="O10" s="11">
        <f t="shared" si="3"/>
        <v>0</v>
      </c>
      <c r="P10" s="17">
        <f t="shared" si="7"/>
        <v>0</v>
      </c>
      <c r="Q10" s="16">
        <f t="shared" si="8"/>
        <v>0</v>
      </c>
      <c r="R10" s="17">
        <f t="shared" si="9"/>
        <v>0</v>
      </c>
      <c r="U10" s="1"/>
      <c r="V10" s="51">
        <f>N38</f>
        <v>3</v>
      </c>
      <c r="W10" s="287" t="s">
        <v>55</v>
      </c>
      <c r="X10" s="41" t="s">
        <v>65</v>
      </c>
    </row>
    <row r="11" spans="1:29" ht="16" x14ac:dyDescent="0.35">
      <c r="A11" s="5">
        <v>9</v>
      </c>
      <c r="B11" s="6" t="s">
        <v>66</v>
      </c>
      <c r="C11" s="46" t="str">
        <f t="shared" si="0"/>
        <v>Priority 3</v>
      </c>
      <c r="D11" s="68" t="s">
        <v>49</v>
      </c>
      <c r="E11" s="71" t="s">
        <v>55</v>
      </c>
      <c r="F11" s="71" t="s">
        <v>52</v>
      </c>
      <c r="G11" s="24" t="s">
        <v>52</v>
      </c>
      <c r="H11" s="11">
        <f t="shared" si="4"/>
        <v>1</v>
      </c>
      <c r="I11" s="11">
        <f t="shared" si="1"/>
        <v>0</v>
      </c>
      <c r="J11" s="11">
        <f t="shared" si="1"/>
        <v>0.5</v>
      </c>
      <c r="K11" s="11">
        <f t="shared" si="1"/>
        <v>0.5</v>
      </c>
      <c r="L11" s="26">
        <f t="shared" si="5"/>
        <v>0.5</v>
      </c>
      <c r="M11" s="16">
        <f t="shared" si="6"/>
        <v>1</v>
      </c>
      <c r="N11" s="35">
        <f t="shared" si="2"/>
        <v>1</v>
      </c>
      <c r="O11" s="11">
        <f t="shared" si="3"/>
        <v>0</v>
      </c>
      <c r="P11" s="17">
        <f t="shared" si="7"/>
        <v>0</v>
      </c>
      <c r="Q11" s="16">
        <f t="shared" si="8"/>
        <v>1</v>
      </c>
      <c r="R11" s="17">
        <f t="shared" si="9"/>
        <v>0</v>
      </c>
      <c r="U11" s="1"/>
      <c r="V11" s="52">
        <f>Q38</f>
        <v>3</v>
      </c>
      <c r="W11" s="288" t="s">
        <v>55</v>
      </c>
      <c r="X11" s="41" t="s">
        <v>67</v>
      </c>
    </row>
    <row r="12" spans="1:29" ht="16" x14ac:dyDescent="0.35">
      <c r="A12" s="5">
        <v>10</v>
      </c>
      <c r="B12" s="6" t="s">
        <v>68</v>
      </c>
      <c r="C12" s="11" t="str">
        <f t="shared" si="0"/>
        <v>Priority 3</v>
      </c>
      <c r="D12" s="68" t="s">
        <v>55</v>
      </c>
      <c r="E12" s="71" t="s">
        <v>55</v>
      </c>
      <c r="F12" s="71" t="s">
        <v>55</v>
      </c>
      <c r="G12" s="24" t="s">
        <v>55</v>
      </c>
      <c r="H12" s="11">
        <f t="shared" si="4"/>
        <v>0</v>
      </c>
      <c r="I12" s="11">
        <f t="shared" si="1"/>
        <v>0</v>
      </c>
      <c r="J12" s="11">
        <f t="shared" si="1"/>
        <v>0</v>
      </c>
      <c r="K12" s="11">
        <f t="shared" si="1"/>
        <v>0</v>
      </c>
      <c r="L12" s="26">
        <f t="shared" si="5"/>
        <v>0</v>
      </c>
      <c r="M12" s="16">
        <f t="shared" si="6"/>
        <v>0</v>
      </c>
      <c r="N12" s="35">
        <f t="shared" si="2"/>
        <v>0</v>
      </c>
      <c r="O12" s="11">
        <f t="shared" si="3"/>
        <v>0</v>
      </c>
      <c r="P12" s="17">
        <f t="shared" si="7"/>
        <v>0</v>
      </c>
      <c r="Q12" s="16">
        <f t="shared" si="8"/>
        <v>0</v>
      </c>
      <c r="R12" s="17">
        <f t="shared" si="9"/>
        <v>0</v>
      </c>
      <c r="V12" s="2">
        <f>SUM(V8:V11)</f>
        <v>14</v>
      </c>
      <c r="W12" t="s">
        <v>69</v>
      </c>
    </row>
    <row r="13" spans="1:29" ht="16" x14ac:dyDescent="0.35">
      <c r="A13" s="5">
        <v>11</v>
      </c>
      <c r="B13" s="6" t="s">
        <v>70</v>
      </c>
      <c r="C13" s="43" t="str">
        <f t="shared" si="0"/>
        <v>Priority 1</v>
      </c>
      <c r="D13" s="68" t="s">
        <v>49</v>
      </c>
      <c r="E13" s="71" t="s">
        <v>49</v>
      </c>
      <c r="F13" s="71" t="s">
        <v>49</v>
      </c>
      <c r="G13" s="24" t="s">
        <v>52</v>
      </c>
      <c r="H13" s="11">
        <f t="shared" si="4"/>
        <v>1</v>
      </c>
      <c r="I13" s="11">
        <f t="shared" si="1"/>
        <v>1</v>
      </c>
      <c r="J13" s="11">
        <f t="shared" si="1"/>
        <v>1</v>
      </c>
      <c r="K13" s="11">
        <f t="shared" si="1"/>
        <v>0.5</v>
      </c>
      <c r="L13" s="26">
        <f t="shared" si="5"/>
        <v>0.875</v>
      </c>
      <c r="M13" s="16">
        <f t="shared" si="6"/>
        <v>1</v>
      </c>
      <c r="N13" s="35">
        <f t="shared" si="2"/>
        <v>0</v>
      </c>
      <c r="O13" s="11">
        <f t="shared" si="3"/>
        <v>0</v>
      </c>
      <c r="P13" s="17">
        <f t="shared" si="7"/>
        <v>1</v>
      </c>
      <c r="Q13" s="16">
        <f t="shared" si="8"/>
        <v>1</v>
      </c>
      <c r="R13" s="17">
        <f t="shared" si="9"/>
        <v>0</v>
      </c>
    </row>
    <row r="14" spans="1:29" ht="16" x14ac:dyDescent="0.35">
      <c r="A14" s="5">
        <v>12</v>
      </c>
      <c r="B14" s="6" t="s">
        <v>71</v>
      </c>
      <c r="C14" s="46" t="str">
        <f t="shared" si="0"/>
        <v>Priority 3</v>
      </c>
      <c r="D14" s="68" t="s">
        <v>49</v>
      </c>
      <c r="E14" s="71" t="s">
        <v>52</v>
      </c>
      <c r="F14" s="71" t="s">
        <v>52</v>
      </c>
      <c r="G14" s="24" t="s">
        <v>55</v>
      </c>
      <c r="H14" s="11">
        <f t="shared" si="4"/>
        <v>1</v>
      </c>
      <c r="I14" s="11">
        <f t="shared" si="1"/>
        <v>0.5</v>
      </c>
      <c r="J14" s="11">
        <f t="shared" si="1"/>
        <v>0.5</v>
      </c>
      <c r="K14" s="11">
        <f t="shared" si="1"/>
        <v>0</v>
      </c>
      <c r="L14" s="26">
        <f t="shared" si="5"/>
        <v>0.5</v>
      </c>
      <c r="M14" s="16">
        <f t="shared" si="6"/>
        <v>1</v>
      </c>
      <c r="N14" s="35">
        <f t="shared" si="2"/>
        <v>1</v>
      </c>
      <c r="O14" s="11">
        <f t="shared" si="3"/>
        <v>0</v>
      </c>
      <c r="P14" s="17">
        <f t="shared" si="7"/>
        <v>0</v>
      </c>
      <c r="Q14" s="16">
        <f t="shared" si="8"/>
        <v>1</v>
      </c>
      <c r="R14" s="17">
        <f t="shared" si="9"/>
        <v>0</v>
      </c>
    </row>
    <row r="15" spans="1:29" ht="16" x14ac:dyDescent="0.35">
      <c r="A15" s="5">
        <v>13</v>
      </c>
      <c r="B15" s="6" t="s">
        <v>72</v>
      </c>
      <c r="C15" s="11" t="str">
        <f t="shared" si="0"/>
        <v>Priority 3</v>
      </c>
      <c r="D15" s="68" t="s">
        <v>55</v>
      </c>
      <c r="E15" s="71" t="s">
        <v>52</v>
      </c>
      <c r="F15" s="71" t="s">
        <v>55</v>
      </c>
      <c r="G15" s="24" t="s">
        <v>52</v>
      </c>
      <c r="H15" s="11">
        <f t="shared" si="4"/>
        <v>0</v>
      </c>
      <c r="I15" s="11">
        <f t="shared" si="1"/>
        <v>0.5</v>
      </c>
      <c r="J15" s="11">
        <f t="shared" si="1"/>
        <v>0</v>
      </c>
      <c r="K15" s="11">
        <f t="shared" si="1"/>
        <v>0.5</v>
      </c>
      <c r="L15" s="26">
        <f t="shared" si="5"/>
        <v>0.25</v>
      </c>
      <c r="M15" s="16">
        <f t="shared" si="6"/>
        <v>0</v>
      </c>
      <c r="N15" s="35">
        <f t="shared" si="2"/>
        <v>0</v>
      </c>
      <c r="O15" s="11">
        <f t="shared" si="3"/>
        <v>0</v>
      </c>
      <c r="P15" s="17">
        <f t="shared" si="7"/>
        <v>0</v>
      </c>
      <c r="Q15" s="16">
        <f t="shared" si="8"/>
        <v>0</v>
      </c>
      <c r="R15" s="17">
        <f t="shared" si="9"/>
        <v>0</v>
      </c>
    </row>
    <row r="16" spans="1:29" ht="16" x14ac:dyDescent="0.35">
      <c r="A16" s="5">
        <v>14</v>
      </c>
      <c r="B16" s="6" t="s">
        <v>73</v>
      </c>
      <c r="C16" s="11" t="str">
        <f t="shared" si="0"/>
        <v>Priority 3</v>
      </c>
      <c r="D16" s="68" t="s">
        <v>55</v>
      </c>
      <c r="E16" s="71" t="s">
        <v>55</v>
      </c>
      <c r="F16" s="71" t="s">
        <v>55</v>
      </c>
      <c r="G16" s="24" t="s">
        <v>55</v>
      </c>
      <c r="H16" s="11">
        <f t="shared" si="4"/>
        <v>0</v>
      </c>
      <c r="I16" s="11">
        <f t="shared" si="1"/>
        <v>0</v>
      </c>
      <c r="J16" s="11">
        <f t="shared" si="1"/>
        <v>0</v>
      </c>
      <c r="K16" s="11">
        <f t="shared" si="1"/>
        <v>0</v>
      </c>
      <c r="L16" s="26">
        <f t="shared" si="5"/>
        <v>0</v>
      </c>
      <c r="M16" s="16">
        <f t="shared" si="6"/>
        <v>0</v>
      </c>
      <c r="N16" s="35">
        <f t="shared" si="2"/>
        <v>0</v>
      </c>
      <c r="O16" s="11">
        <f t="shared" si="3"/>
        <v>0</v>
      </c>
      <c r="P16" s="17">
        <f t="shared" si="7"/>
        <v>0</v>
      </c>
      <c r="Q16" s="16">
        <f t="shared" si="8"/>
        <v>0</v>
      </c>
      <c r="R16" s="17">
        <f t="shared" si="9"/>
        <v>0</v>
      </c>
    </row>
    <row r="17" spans="1:18" ht="16" x14ac:dyDescent="0.35">
      <c r="A17" s="5">
        <v>15</v>
      </c>
      <c r="B17" s="6" t="s">
        <v>74</v>
      </c>
      <c r="C17" s="43" t="str">
        <f t="shared" si="0"/>
        <v>Priority 1</v>
      </c>
      <c r="D17" s="68" t="s">
        <v>49</v>
      </c>
      <c r="E17" s="71" t="s">
        <v>49</v>
      </c>
      <c r="F17" s="71" t="s">
        <v>49</v>
      </c>
      <c r="G17" s="24" t="s">
        <v>52</v>
      </c>
      <c r="H17" s="11">
        <f t="shared" si="4"/>
        <v>1</v>
      </c>
      <c r="I17" s="11">
        <f t="shared" si="1"/>
        <v>1</v>
      </c>
      <c r="J17" s="11">
        <f t="shared" si="1"/>
        <v>1</v>
      </c>
      <c r="K17" s="11">
        <f t="shared" si="1"/>
        <v>0.5</v>
      </c>
      <c r="L17" s="26">
        <f t="shared" si="5"/>
        <v>0.875</v>
      </c>
      <c r="M17" s="16">
        <f t="shared" si="6"/>
        <v>1</v>
      </c>
      <c r="N17" s="35">
        <f t="shared" si="2"/>
        <v>0</v>
      </c>
      <c r="O17" s="11">
        <f t="shared" si="3"/>
        <v>0</v>
      </c>
      <c r="P17" s="17">
        <f t="shared" si="7"/>
        <v>1</v>
      </c>
      <c r="Q17" s="16">
        <f t="shared" si="8"/>
        <v>1</v>
      </c>
      <c r="R17" s="17">
        <f t="shared" si="9"/>
        <v>0</v>
      </c>
    </row>
    <row r="18" spans="1:18" ht="16" x14ac:dyDescent="0.35">
      <c r="A18" s="5">
        <v>16</v>
      </c>
      <c r="B18" s="6" t="s">
        <v>75</v>
      </c>
      <c r="C18" s="45" t="str">
        <f t="shared" si="0"/>
        <v>Priority 3</v>
      </c>
      <c r="D18" s="68" t="s">
        <v>55</v>
      </c>
      <c r="E18" s="71" t="s">
        <v>55</v>
      </c>
      <c r="F18" s="71" t="s">
        <v>49</v>
      </c>
      <c r="G18" s="24" t="s">
        <v>55</v>
      </c>
      <c r="H18" s="11">
        <f t="shared" si="4"/>
        <v>0</v>
      </c>
      <c r="I18" s="11">
        <f t="shared" si="1"/>
        <v>0</v>
      </c>
      <c r="J18" s="11">
        <f t="shared" si="1"/>
        <v>1</v>
      </c>
      <c r="K18" s="11">
        <f t="shared" si="1"/>
        <v>0</v>
      </c>
      <c r="L18" s="26">
        <f t="shared" si="5"/>
        <v>0.25</v>
      </c>
      <c r="M18" s="16">
        <f t="shared" si="6"/>
        <v>0</v>
      </c>
      <c r="N18" s="35">
        <f t="shared" si="2"/>
        <v>0</v>
      </c>
      <c r="O18" s="11">
        <f t="shared" si="3"/>
        <v>0</v>
      </c>
      <c r="P18" s="17">
        <f t="shared" si="7"/>
        <v>0</v>
      </c>
      <c r="Q18" s="16">
        <f t="shared" si="8"/>
        <v>1</v>
      </c>
      <c r="R18" s="17">
        <f t="shared" si="9"/>
        <v>-1</v>
      </c>
    </row>
    <row r="19" spans="1:18" ht="16" x14ac:dyDescent="0.35">
      <c r="A19" s="5">
        <v>17</v>
      </c>
      <c r="B19" s="6" t="s">
        <v>76</v>
      </c>
      <c r="C19" s="11" t="str">
        <f t="shared" si="0"/>
        <v>Priority 3</v>
      </c>
      <c r="D19" s="68" t="s">
        <v>55</v>
      </c>
      <c r="E19" s="71" t="s">
        <v>55</v>
      </c>
      <c r="F19" s="71" t="s">
        <v>55</v>
      </c>
      <c r="G19" s="24" t="s">
        <v>55</v>
      </c>
      <c r="H19" s="11">
        <f t="shared" si="4"/>
        <v>0</v>
      </c>
      <c r="I19" s="11">
        <f t="shared" si="1"/>
        <v>0</v>
      </c>
      <c r="J19" s="11">
        <f t="shared" si="1"/>
        <v>0</v>
      </c>
      <c r="K19" s="11">
        <f t="shared" si="1"/>
        <v>0</v>
      </c>
      <c r="L19" s="26">
        <f t="shared" si="5"/>
        <v>0</v>
      </c>
      <c r="M19" s="16">
        <f t="shared" si="6"/>
        <v>0</v>
      </c>
      <c r="N19" s="35">
        <f t="shared" si="2"/>
        <v>0</v>
      </c>
      <c r="O19" s="11">
        <f t="shared" si="3"/>
        <v>0</v>
      </c>
      <c r="P19" s="17">
        <f t="shared" si="7"/>
        <v>0</v>
      </c>
      <c r="Q19" s="16">
        <f t="shared" si="8"/>
        <v>0</v>
      </c>
      <c r="R19" s="17">
        <f t="shared" si="9"/>
        <v>0</v>
      </c>
    </row>
    <row r="20" spans="1:18" ht="16" x14ac:dyDescent="0.35">
      <c r="A20" s="5">
        <v>18</v>
      </c>
      <c r="B20" s="6" t="s">
        <v>77</v>
      </c>
      <c r="C20" s="11" t="str">
        <f t="shared" si="0"/>
        <v>Priority 3</v>
      </c>
      <c r="D20" s="68" t="s">
        <v>55</v>
      </c>
      <c r="E20" s="71" t="s">
        <v>52</v>
      </c>
      <c r="F20" s="71" t="s">
        <v>52</v>
      </c>
      <c r="G20" s="24" t="s">
        <v>52</v>
      </c>
      <c r="H20" s="11">
        <f t="shared" si="4"/>
        <v>0</v>
      </c>
      <c r="I20" s="11">
        <f t="shared" si="1"/>
        <v>0.5</v>
      </c>
      <c r="J20" s="11">
        <f t="shared" si="1"/>
        <v>0.5</v>
      </c>
      <c r="K20" s="11">
        <f t="shared" si="1"/>
        <v>0.5</v>
      </c>
      <c r="L20" s="26">
        <f t="shared" si="5"/>
        <v>0.375</v>
      </c>
      <c r="M20" s="16">
        <f t="shared" si="6"/>
        <v>0</v>
      </c>
      <c r="N20" s="35">
        <f t="shared" si="2"/>
        <v>0</v>
      </c>
      <c r="O20" s="11">
        <f t="shared" si="3"/>
        <v>0</v>
      </c>
      <c r="P20" s="17">
        <f t="shared" si="7"/>
        <v>0</v>
      </c>
      <c r="Q20" s="16">
        <f t="shared" si="8"/>
        <v>0</v>
      </c>
      <c r="R20" s="17">
        <f t="shared" si="9"/>
        <v>0</v>
      </c>
    </row>
    <row r="21" spans="1:18" ht="16" x14ac:dyDescent="0.35">
      <c r="A21" s="5">
        <v>19</v>
      </c>
      <c r="B21" s="6" t="s">
        <v>78</v>
      </c>
      <c r="C21" s="11" t="str">
        <f t="shared" si="0"/>
        <v>Priority 3</v>
      </c>
      <c r="D21" s="68" t="s">
        <v>55</v>
      </c>
      <c r="E21" s="71" t="s">
        <v>55</v>
      </c>
      <c r="F21" s="71" t="s">
        <v>55</v>
      </c>
      <c r="G21" s="24" t="s">
        <v>55</v>
      </c>
      <c r="H21" s="11">
        <f t="shared" si="4"/>
        <v>0</v>
      </c>
      <c r="I21" s="11">
        <f t="shared" si="1"/>
        <v>0</v>
      </c>
      <c r="J21" s="11">
        <f t="shared" si="1"/>
        <v>0</v>
      </c>
      <c r="K21" s="11">
        <f t="shared" si="1"/>
        <v>0</v>
      </c>
      <c r="L21" s="26">
        <f t="shared" si="5"/>
        <v>0</v>
      </c>
      <c r="M21" s="16">
        <f t="shared" si="6"/>
        <v>0</v>
      </c>
      <c r="N21" s="35">
        <f t="shared" si="2"/>
        <v>0</v>
      </c>
      <c r="O21" s="11">
        <f t="shared" si="3"/>
        <v>0</v>
      </c>
      <c r="P21" s="17">
        <f t="shared" si="7"/>
        <v>0</v>
      </c>
      <c r="Q21" s="16">
        <f t="shared" si="8"/>
        <v>0</v>
      </c>
      <c r="R21" s="17">
        <f t="shared" si="9"/>
        <v>0</v>
      </c>
    </row>
    <row r="22" spans="1:18" ht="16" x14ac:dyDescent="0.35">
      <c r="A22" s="5">
        <v>20</v>
      </c>
      <c r="B22" s="6" t="s">
        <v>79</v>
      </c>
      <c r="C22" s="11" t="str">
        <f t="shared" si="0"/>
        <v>Priority 3</v>
      </c>
      <c r="D22" s="68" t="s">
        <v>55</v>
      </c>
      <c r="E22" s="71" t="s">
        <v>55</v>
      </c>
      <c r="F22" s="71" t="s">
        <v>55</v>
      </c>
      <c r="G22" s="24" t="s">
        <v>55</v>
      </c>
      <c r="H22" s="11">
        <f t="shared" si="4"/>
        <v>0</v>
      </c>
      <c r="I22" s="11">
        <f t="shared" si="1"/>
        <v>0</v>
      </c>
      <c r="J22" s="11">
        <f t="shared" si="1"/>
        <v>0</v>
      </c>
      <c r="K22" s="11">
        <f t="shared" si="1"/>
        <v>0</v>
      </c>
      <c r="L22" s="26">
        <f t="shared" si="5"/>
        <v>0</v>
      </c>
      <c r="M22" s="16">
        <f t="shared" si="6"/>
        <v>0</v>
      </c>
      <c r="N22" s="35">
        <f t="shared" si="2"/>
        <v>0</v>
      </c>
      <c r="O22" s="11">
        <f t="shared" si="3"/>
        <v>0</v>
      </c>
      <c r="P22" s="17">
        <f t="shared" si="7"/>
        <v>0</v>
      </c>
      <c r="Q22" s="16">
        <f t="shared" si="8"/>
        <v>0</v>
      </c>
      <c r="R22" s="17">
        <f t="shared" si="9"/>
        <v>0</v>
      </c>
    </row>
    <row r="23" spans="1:18" ht="16" x14ac:dyDescent="0.35">
      <c r="A23" s="5">
        <v>21</v>
      </c>
      <c r="B23" s="6" t="s">
        <v>80</v>
      </c>
      <c r="C23" s="11" t="str">
        <f t="shared" si="0"/>
        <v>Priority 3</v>
      </c>
      <c r="D23" s="68" t="s">
        <v>55</v>
      </c>
      <c r="E23" s="71" t="s">
        <v>55</v>
      </c>
      <c r="F23" s="71" t="s">
        <v>55</v>
      </c>
      <c r="G23" s="24" t="s">
        <v>55</v>
      </c>
      <c r="H23" s="11">
        <f t="shared" si="4"/>
        <v>0</v>
      </c>
      <c r="I23" s="11">
        <f t="shared" si="1"/>
        <v>0</v>
      </c>
      <c r="J23" s="11">
        <f t="shared" si="1"/>
        <v>0</v>
      </c>
      <c r="K23" s="11">
        <f t="shared" si="1"/>
        <v>0</v>
      </c>
      <c r="L23" s="26">
        <f t="shared" si="5"/>
        <v>0</v>
      </c>
      <c r="M23" s="16">
        <f t="shared" si="6"/>
        <v>0</v>
      </c>
      <c r="N23" s="35">
        <f t="shared" si="2"/>
        <v>0</v>
      </c>
      <c r="O23" s="11">
        <f t="shared" si="3"/>
        <v>0</v>
      </c>
      <c r="P23" s="17">
        <f t="shared" si="7"/>
        <v>0</v>
      </c>
      <c r="Q23" s="16">
        <f t="shared" si="8"/>
        <v>0</v>
      </c>
      <c r="R23" s="17">
        <f t="shared" si="9"/>
        <v>0</v>
      </c>
    </row>
    <row r="24" spans="1:18" ht="16" x14ac:dyDescent="0.35">
      <c r="A24" s="5">
        <v>22</v>
      </c>
      <c r="B24" s="6" t="s">
        <v>81</v>
      </c>
      <c r="C24" s="11" t="str">
        <f t="shared" si="0"/>
        <v>Priority 3</v>
      </c>
      <c r="D24" s="68" t="s">
        <v>55</v>
      </c>
      <c r="E24" s="71" t="s">
        <v>55</v>
      </c>
      <c r="F24" s="71" t="s">
        <v>55</v>
      </c>
      <c r="G24" s="24" t="s">
        <v>55</v>
      </c>
      <c r="H24" s="11">
        <f t="shared" si="4"/>
        <v>0</v>
      </c>
      <c r="I24" s="11">
        <f t="shared" si="1"/>
        <v>0</v>
      </c>
      <c r="J24" s="11">
        <f t="shared" si="1"/>
        <v>0</v>
      </c>
      <c r="K24" s="11">
        <f t="shared" si="1"/>
        <v>0</v>
      </c>
      <c r="L24" s="26">
        <f t="shared" si="5"/>
        <v>0</v>
      </c>
      <c r="M24" s="16">
        <f t="shared" si="6"/>
        <v>0</v>
      </c>
      <c r="N24" s="35">
        <f t="shared" si="2"/>
        <v>0</v>
      </c>
      <c r="O24" s="11">
        <f t="shared" si="3"/>
        <v>0</v>
      </c>
      <c r="P24" s="17">
        <f t="shared" si="7"/>
        <v>0</v>
      </c>
      <c r="Q24" s="16">
        <f t="shared" si="8"/>
        <v>0</v>
      </c>
      <c r="R24" s="17">
        <f t="shared" si="9"/>
        <v>0</v>
      </c>
    </row>
    <row r="25" spans="1:18" ht="16" x14ac:dyDescent="0.35">
      <c r="A25" s="5">
        <v>23</v>
      </c>
      <c r="B25" s="6" t="s">
        <v>82</v>
      </c>
      <c r="C25" s="43" t="str">
        <f t="shared" si="0"/>
        <v>Priority 1</v>
      </c>
      <c r="D25" s="68" t="s">
        <v>49</v>
      </c>
      <c r="E25" s="71" t="s">
        <v>49</v>
      </c>
      <c r="F25" s="71" t="s">
        <v>49</v>
      </c>
      <c r="G25" s="24" t="s">
        <v>52</v>
      </c>
      <c r="H25" s="11">
        <f t="shared" si="4"/>
        <v>1</v>
      </c>
      <c r="I25" s="11">
        <f t="shared" si="1"/>
        <v>1</v>
      </c>
      <c r="J25" s="11">
        <f t="shared" si="1"/>
        <v>1</v>
      </c>
      <c r="K25" s="11">
        <f t="shared" si="1"/>
        <v>0.5</v>
      </c>
      <c r="L25" s="26">
        <f t="shared" si="5"/>
        <v>0.875</v>
      </c>
      <c r="M25" s="16">
        <f t="shared" si="6"/>
        <v>1</v>
      </c>
      <c r="N25" s="35">
        <f t="shared" si="2"/>
        <v>0</v>
      </c>
      <c r="O25" s="11">
        <f t="shared" si="3"/>
        <v>0</v>
      </c>
      <c r="P25" s="17">
        <f t="shared" si="7"/>
        <v>1</v>
      </c>
      <c r="Q25" s="16">
        <f t="shared" si="8"/>
        <v>1</v>
      </c>
      <c r="R25" s="17">
        <f t="shared" si="9"/>
        <v>0</v>
      </c>
    </row>
    <row r="26" spans="1:18" ht="16" x14ac:dyDescent="0.35">
      <c r="A26" s="5">
        <v>24</v>
      </c>
      <c r="B26" s="6" t="s">
        <v>83</v>
      </c>
      <c r="C26" s="11" t="str">
        <f t="shared" si="0"/>
        <v>Priority 3</v>
      </c>
      <c r="D26" s="68" t="s">
        <v>55</v>
      </c>
      <c r="E26" s="71" t="s">
        <v>55</v>
      </c>
      <c r="F26" s="71" t="s">
        <v>55</v>
      </c>
      <c r="G26" s="24" t="s">
        <v>52</v>
      </c>
      <c r="H26" s="11">
        <f t="shared" si="4"/>
        <v>0</v>
      </c>
      <c r="I26" s="11">
        <f t="shared" si="1"/>
        <v>0</v>
      </c>
      <c r="J26" s="11">
        <f t="shared" si="1"/>
        <v>0</v>
      </c>
      <c r="K26" s="11">
        <f t="shared" si="1"/>
        <v>0.5</v>
      </c>
      <c r="L26" s="26">
        <f t="shared" si="5"/>
        <v>0.125</v>
      </c>
      <c r="M26" s="16">
        <f t="shared" si="6"/>
        <v>0</v>
      </c>
      <c r="N26" s="35">
        <f t="shared" si="2"/>
        <v>0</v>
      </c>
      <c r="O26" s="11">
        <f t="shared" si="3"/>
        <v>0</v>
      </c>
      <c r="P26" s="17">
        <f t="shared" si="7"/>
        <v>0</v>
      </c>
      <c r="Q26" s="16">
        <f t="shared" si="8"/>
        <v>0</v>
      </c>
      <c r="R26" s="17">
        <f t="shared" si="9"/>
        <v>0</v>
      </c>
    </row>
    <row r="27" spans="1:18" ht="16" x14ac:dyDescent="0.35">
      <c r="A27" s="5">
        <v>25</v>
      </c>
      <c r="B27" s="6" t="s">
        <v>84</v>
      </c>
      <c r="C27" s="44" t="str">
        <f t="shared" si="0"/>
        <v>Priority 2</v>
      </c>
      <c r="D27" s="68" t="s">
        <v>52</v>
      </c>
      <c r="E27" s="71" t="s">
        <v>52</v>
      </c>
      <c r="F27" s="71" t="s">
        <v>52</v>
      </c>
      <c r="G27" s="24" t="s">
        <v>49</v>
      </c>
      <c r="H27" s="11">
        <f t="shared" si="4"/>
        <v>0.5</v>
      </c>
      <c r="I27" s="11">
        <f t="shared" si="1"/>
        <v>0.5</v>
      </c>
      <c r="J27" s="11">
        <f t="shared" si="1"/>
        <v>0.5</v>
      </c>
      <c r="K27" s="11">
        <f t="shared" si="1"/>
        <v>1</v>
      </c>
      <c r="L27" s="26">
        <f t="shared" si="5"/>
        <v>0.625</v>
      </c>
      <c r="M27" s="16">
        <f t="shared" si="6"/>
        <v>1</v>
      </c>
      <c r="N27" s="35">
        <f t="shared" si="2"/>
        <v>0</v>
      </c>
      <c r="O27" s="11">
        <f t="shared" si="3"/>
        <v>1</v>
      </c>
      <c r="P27" s="17">
        <f t="shared" si="7"/>
        <v>0</v>
      </c>
      <c r="Q27" s="16">
        <f t="shared" si="8"/>
        <v>1</v>
      </c>
      <c r="R27" s="17">
        <f t="shared" si="9"/>
        <v>0</v>
      </c>
    </row>
    <row r="28" spans="1:18" ht="16" x14ac:dyDescent="0.35">
      <c r="A28" s="5">
        <v>26</v>
      </c>
      <c r="B28" s="6" t="s">
        <v>85</v>
      </c>
      <c r="C28" s="11" t="str">
        <f t="shared" si="0"/>
        <v>Priority 3</v>
      </c>
      <c r="D28" s="68" t="s">
        <v>55</v>
      </c>
      <c r="E28" s="71" t="s">
        <v>52</v>
      </c>
      <c r="F28" s="71" t="s">
        <v>55</v>
      </c>
      <c r="G28" s="24" t="s">
        <v>55</v>
      </c>
      <c r="H28" s="11">
        <f t="shared" si="4"/>
        <v>0</v>
      </c>
      <c r="I28" s="11">
        <f t="shared" si="1"/>
        <v>0.5</v>
      </c>
      <c r="J28" s="11">
        <f t="shared" si="1"/>
        <v>0</v>
      </c>
      <c r="K28" s="11">
        <f t="shared" si="1"/>
        <v>0</v>
      </c>
      <c r="L28" s="26">
        <f t="shared" si="5"/>
        <v>0.125</v>
      </c>
      <c r="M28" s="16">
        <f t="shared" si="6"/>
        <v>0</v>
      </c>
      <c r="N28" s="35">
        <f t="shared" si="2"/>
        <v>0</v>
      </c>
      <c r="O28" s="11">
        <f t="shared" si="3"/>
        <v>0</v>
      </c>
      <c r="P28" s="17">
        <f t="shared" si="7"/>
        <v>0</v>
      </c>
      <c r="Q28" s="16">
        <f t="shared" si="8"/>
        <v>0</v>
      </c>
      <c r="R28" s="17">
        <f t="shared" si="9"/>
        <v>0</v>
      </c>
    </row>
    <row r="29" spans="1:18" ht="16" x14ac:dyDescent="0.35">
      <c r="A29" s="5">
        <v>27</v>
      </c>
      <c r="B29" s="6" t="s">
        <v>86</v>
      </c>
      <c r="C29" s="11" t="str">
        <f t="shared" si="0"/>
        <v>Priority 3</v>
      </c>
      <c r="D29" s="68" t="s">
        <v>55</v>
      </c>
      <c r="E29" s="71" t="s">
        <v>55</v>
      </c>
      <c r="F29" s="71" t="s">
        <v>55</v>
      </c>
      <c r="G29" s="24" t="s">
        <v>55</v>
      </c>
      <c r="H29" s="11">
        <f t="shared" si="4"/>
        <v>0</v>
      </c>
      <c r="I29" s="11">
        <f t="shared" si="1"/>
        <v>0</v>
      </c>
      <c r="J29" s="11">
        <f t="shared" si="1"/>
        <v>0</v>
      </c>
      <c r="K29" s="11">
        <f t="shared" si="1"/>
        <v>0</v>
      </c>
      <c r="L29" s="26">
        <f t="shared" si="5"/>
        <v>0</v>
      </c>
      <c r="M29" s="16">
        <f t="shared" si="6"/>
        <v>0</v>
      </c>
      <c r="N29" s="35">
        <f t="shared" si="2"/>
        <v>0</v>
      </c>
      <c r="O29" s="11">
        <f t="shared" si="3"/>
        <v>0</v>
      </c>
      <c r="P29" s="17">
        <f t="shared" si="7"/>
        <v>0</v>
      </c>
      <c r="Q29" s="16">
        <f t="shared" si="8"/>
        <v>0</v>
      </c>
      <c r="R29" s="17">
        <f t="shared" si="9"/>
        <v>0</v>
      </c>
    </row>
    <row r="30" spans="1:18" ht="16" x14ac:dyDescent="0.35">
      <c r="A30" s="5">
        <v>28</v>
      </c>
      <c r="B30" s="6" t="s">
        <v>87</v>
      </c>
      <c r="C30" s="43" t="str">
        <f t="shared" si="0"/>
        <v>Priority 1</v>
      </c>
      <c r="D30" s="68" t="s">
        <v>49</v>
      </c>
      <c r="E30" s="71" t="s">
        <v>49</v>
      </c>
      <c r="F30" s="71" t="s">
        <v>49</v>
      </c>
      <c r="G30" s="24" t="s">
        <v>52</v>
      </c>
      <c r="H30" s="11">
        <f t="shared" si="4"/>
        <v>1</v>
      </c>
      <c r="I30" s="11">
        <f t="shared" si="1"/>
        <v>1</v>
      </c>
      <c r="J30" s="11">
        <f t="shared" si="1"/>
        <v>1</v>
      </c>
      <c r="K30" s="11">
        <f t="shared" si="1"/>
        <v>0.5</v>
      </c>
      <c r="L30" s="26">
        <f t="shared" si="5"/>
        <v>0.875</v>
      </c>
      <c r="M30" s="16">
        <f t="shared" si="6"/>
        <v>1</v>
      </c>
      <c r="N30" s="35">
        <f t="shared" si="2"/>
        <v>0</v>
      </c>
      <c r="O30" s="11">
        <f t="shared" si="3"/>
        <v>0</v>
      </c>
      <c r="P30" s="17">
        <f t="shared" si="7"/>
        <v>1</v>
      </c>
      <c r="Q30" s="16">
        <f t="shared" si="8"/>
        <v>1</v>
      </c>
      <c r="R30" s="17">
        <f t="shared" si="9"/>
        <v>0</v>
      </c>
    </row>
    <row r="31" spans="1:18" ht="16" x14ac:dyDescent="0.35">
      <c r="A31" s="5">
        <v>29</v>
      </c>
      <c r="B31" s="6" t="s">
        <v>88</v>
      </c>
      <c r="C31" s="11" t="str">
        <f t="shared" si="0"/>
        <v>Priority 3</v>
      </c>
      <c r="D31" s="68" t="s">
        <v>55</v>
      </c>
      <c r="E31" s="71" t="s">
        <v>55</v>
      </c>
      <c r="F31" s="71" t="s">
        <v>55</v>
      </c>
      <c r="G31" s="24" t="s">
        <v>55</v>
      </c>
      <c r="H31" s="11">
        <f t="shared" si="4"/>
        <v>0</v>
      </c>
      <c r="I31" s="11">
        <f t="shared" si="1"/>
        <v>0</v>
      </c>
      <c r="J31" s="11">
        <f t="shared" si="1"/>
        <v>0</v>
      </c>
      <c r="K31" s="11">
        <f t="shared" si="1"/>
        <v>0</v>
      </c>
      <c r="L31" s="26">
        <f t="shared" si="5"/>
        <v>0</v>
      </c>
      <c r="M31" s="16">
        <f t="shared" si="6"/>
        <v>0</v>
      </c>
      <c r="N31" s="35">
        <f t="shared" si="2"/>
        <v>0</v>
      </c>
      <c r="O31" s="11">
        <f t="shared" si="3"/>
        <v>0</v>
      </c>
      <c r="P31" s="17">
        <f t="shared" si="7"/>
        <v>0</v>
      </c>
      <c r="Q31" s="16">
        <f t="shared" si="8"/>
        <v>0</v>
      </c>
      <c r="R31" s="17">
        <f t="shared" si="9"/>
        <v>0</v>
      </c>
    </row>
    <row r="32" spans="1:18" ht="16" x14ac:dyDescent="0.35">
      <c r="A32" s="5">
        <v>30</v>
      </c>
      <c r="B32" s="6" t="s">
        <v>89</v>
      </c>
      <c r="C32" s="11" t="str">
        <f t="shared" si="0"/>
        <v>Priority 3</v>
      </c>
      <c r="D32" s="68" t="s">
        <v>55</v>
      </c>
      <c r="E32" s="71" t="s">
        <v>55</v>
      </c>
      <c r="F32" s="71" t="s">
        <v>55</v>
      </c>
      <c r="G32" s="24" t="s">
        <v>55</v>
      </c>
      <c r="H32" s="11">
        <f t="shared" si="4"/>
        <v>0</v>
      </c>
      <c r="I32" s="11">
        <f t="shared" si="1"/>
        <v>0</v>
      </c>
      <c r="J32" s="11">
        <f t="shared" si="1"/>
        <v>0</v>
      </c>
      <c r="K32" s="11">
        <f t="shared" si="1"/>
        <v>0</v>
      </c>
      <c r="L32" s="26">
        <f t="shared" si="5"/>
        <v>0</v>
      </c>
      <c r="M32" s="16">
        <f t="shared" si="6"/>
        <v>0</v>
      </c>
      <c r="N32" s="35">
        <f t="shared" si="2"/>
        <v>0</v>
      </c>
      <c r="O32" s="11">
        <f t="shared" si="3"/>
        <v>0</v>
      </c>
      <c r="P32" s="17">
        <f t="shared" si="7"/>
        <v>0</v>
      </c>
      <c r="Q32" s="16">
        <f t="shared" si="8"/>
        <v>0</v>
      </c>
      <c r="R32" s="17">
        <f t="shared" si="9"/>
        <v>0</v>
      </c>
    </row>
    <row r="33" spans="1:18" ht="16" x14ac:dyDescent="0.35">
      <c r="A33" s="5">
        <v>31</v>
      </c>
      <c r="B33" s="6" t="s">
        <v>90</v>
      </c>
      <c r="C33" s="11" t="str">
        <f t="shared" si="0"/>
        <v>Priority 3</v>
      </c>
      <c r="D33" s="68" t="s">
        <v>55</v>
      </c>
      <c r="E33" s="71" t="s">
        <v>55</v>
      </c>
      <c r="F33" s="71" t="s">
        <v>55</v>
      </c>
      <c r="G33" s="24" t="s">
        <v>55</v>
      </c>
      <c r="H33" s="11">
        <f t="shared" si="4"/>
        <v>0</v>
      </c>
      <c r="I33" s="11">
        <f t="shared" si="1"/>
        <v>0</v>
      </c>
      <c r="J33" s="11">
        <f t="shared" si="1"/>
        <v>0</v>
      </c>
      <c r="K33" s="11">
        <f t="shared" si="1"/>
        <v>0</v>
      </c>
      <c r="L33" s="26">
        <f t="shared" si="5"/>
        <v>0</v>
      </c>
      <c r="M33" s="16">
        <f t="shared" si="6"/>
        <v>0</v>
      </c>
      <c r="N33" s="35">
        <f t="shared" si="2"/>
        <v>0</v>
      </c>
      <c r="O33" s="11">
        <f t="shared" si="3"/>
        <v>0</v>
      </c>
      <c r="P33" s="17">
        <f t="shared" si="7"/>
        <v>0</v>
      </c>
      <c r="Q33" s="16">
        <f t="shared" si="8"/>
        <v>0</v>
      </c>
      <c r="R33" s="17">
        <f t="shared" si="9"/>
        <v>0</v>
      </c>
    </row>
    <row r="34" spans="1:18" ht="16" x14ac:dyDescent="0.35">
      <c r="A34" s="5">
        <v>32</v>
      </c>
      <c r="B34" s="6" t="s">
        <v>91</v>
      </c>
      <c r="C34" s="11" t="str">
        <f t="shared" si="0"/>
        <v>Priority 3</v>
      </c>
      <c r="D34" s="68" t="s">
        <v>55</v>
      </c>
      <c r="E34" s="71" t="s">
        <v>52</v>
      </c>
      <c r="F34" s="71" t="s">
        <v>55</v>
      </c>
      <c r="G34" s="24" t="s">
        <v>55</v>
      </c>
      <c r="H34" s="11">
        <f t="shared" si="4"/>
        <v>0</v>
      </c>
      <c r="I34" s="11">
        <f t="shared" si="1"/>
        <v>0.5</v>
      </c>
      <c r="J34" s="11">
        <f t="shared" si="1"/>
        <v>0</v>
      </c>
      <c r="K34" s="11">
        <f t="shared" si="1"/>
        <v>0</v>
      </c>
      <c r="L34" s="26">
        <f t="shared" si="5"/>
        <v>0.125</v>
      </c>
      <c r="M34" s="16">
        <f t="shared" si="6"/>
        <v>0</v>
      </c>
      <c r="N34" s="35">
        <f t="shared" si="2"/>
        <v>0</v>
      </c>
      <c r="O34" s="11">
        <f t="shared" si="3"/>
        <v>0</v>
      </c>
      <c r="P34" s="17">
        <f t="shared" si="7"/>
        <v>0</v>
      </c>
      <c r="Q34" s="16">
        <f t="shared" si="8"/>
        <v>0</v>
      </c>
      <c r="R34" s="17">
        <f t="shared" si="9"/>
        <v>0</v>
      </c>
    </row>
    <row r="35" spans="1:18" ht="16" x14ac:dyDescent="0.35">
      <c r="A35" s="5">
        <v>33</v>
      </c>
      <c r="B35" s="6" t="s">
        <v>92</v>
      </c>
      <c r="C35" s="11" t="str">
        <f t="shared" si="0"/>
        <v>Priority 3</v>
      </c>
      <c r="D35" s="68" t="s">
        <v>55</v>
      </c>
      <c r="E35" s="71" t="s">
        <v>52</v>
      </c>
      <c r="F35" s="71" t="s">
        <v>55</v>
      </c>
      <c r="G35" s="24" t="s">
        <v>52</v>
      </c>
      <c r="H35" s="28">
        <f t="shared" si="4"/>
        <v>0</v>
      </c>
      <c r="I35" s="11">
        <f t="shared" si="1"/>
        <v>0.5</v>
      </c>
      <c r="J35" s="11">
        <f t="shared" si="1"/>
        <v>0</v>
      </c>
      <c r="K35" s="17">
        <f t="shared" si="1"/>
        <v>0.5</v>
      </c>
      <c r="L35" s="26">
        <f t="shared" si="5"/>
        <v>0.25</v>
      </c>
      <c r="M35" s="16">
        <f t="shared" si="6"/>
        <v>0</v>
      </c>
      <c r="N35" s="35">
        <f t="shared" si="2"/>
        <v>0</v>
      </c>
      <c r="O35" s="11">
        <f t="shared" si="3"/>
        <v>0</v>
      </c>
      <c r="P35" s="17">
        <f t="shared" si="7"/>
        <v>0</v>
      </c>
      <c r="Q35" s="16">
        <f t="shared" si="8"/>
        <v>0</v>
      </c>
      <c r="R35" s="17">
        <f t="shared" si="9"/>
        <v>0</v>
      </c>
    </row>
    <row r="36" spans="1:18" ht="16" x14ac:dyDescent="0.35">
      <c r="A36" s="5">
        <v>34</v>
      </c>
      <c r="B36" s="6" t="s">
        <v>93</v>
      </c>
      <c r="C36" s="43" t="str">
        <f t="shared" si="0"/>
        <v>Priority 1</v>
      </c>
      <c r="D36" s="69" t="s">
        <v>49</v>
      </c>
      <c r="E36" s="72" t="s">
        <v>49</v>
      </c>
      <c r="F36" s="72" t="s">
        <v>49</v>
      </c>
      <c r="G36" s="25" t="s">
        <v>49</v>
      </c>
      <c r="H36" s="29">
        <f t="shared" si="4"/>
        <v>1</v>
      </c>
      <c r="I36" s="19">
        <f t="shared" si="1"/>
        <v>1</v>
      </c>
      <c r="J36" s="19">
        <f t="shared" si="1"/>
        <v>1</v>
      </c>
      <c r="K36" s="20">
        <f t="shared" si="1"/>
        <v>1</v>
      </c>
      <c r="L36" s="27">
        <f t="shared" si="5"/>
        <v>1</v>
      </c>
      <c r="M36" s="18">
        <f t="shared" si="6"/>
        <v>1</v>
      </c>
      <c r="N36" s="36">
        <f t="shared" si="2"/>
        <v>0</v>
      </c>
      <c r="O36" s="19">
        <f t="shared" si="3"/>
        <v>0</v>
      </c>
      <c r="P36" s="20">
        <f t="shared" si="7"/>
        <v>1</v>
      </c>
      <c r="Q36" s="18">
        <f t="shared" si="8"/>
        <v>1</v>
      </c>
      <c r="R36" s="20">
        <f t="shared" si="9"/>
        <v>0</v>
      </c>
    </row>
    <row r="37" spans="1:18" x14ac:dyDescent="0.35">
      <c r="H37" s="11"/>
      <c r="I37" s="11"/>
      <c r="J37" s="11"/>
      <c r="K37" s="11"/>
      <c r="L37" s="11"/>
      <c r="Q37" s="11"/>
    </row>
    <row r="38" spans="1:18" ht="16" x14ac:dyDescent="0.35">
      <c r="A38" s="423" t="s">
        <v>94</v>
      </c>
      <c r="B38" s="423"/>
      <c r="C38" s="10">
        <f>SUM(Q3:Q36)</f>
        <v>14</v>
      </c>
      <c r="D38" s="9"/>
      <c r="E38" s="9"/>
      <c r="F38" s="9"/>
      <c r="G38" s="9"/>
      <c r="H38" s="9"/>
      <c r="I38" s="9"/>
      <c r="J38" s="9"/>
      <c r="K38" s="9"/>
      <c r="L38" s="9"/>
      <c r="M38" s="2">
        <f>+SUM(M3:M36)</f>
        <v>11</v>
      </c>
      <c r="N38" s="37">
        <f>+SUM(N3:N36)</f>
        <v>3</v>
      </c>
      <c r="O38" s="38">
        <f>+SUM(O3:O36)</f>
        <v>2</v>
      </c>
      <c r="P38" s="39">
        <f>+SUM(P3:P36)</f>
        <v>6</v>
      </c>
      <c r="Q38" s="40">
        <f>C38-M38</f>
        <v>3</v>
      </c>
    </row>
    <row r="48" spans="1:18" x14ac:dyDescent="0.35">
      <c r="L48" s="14"/>
    </row>
  </sheetData>
  <autoFilter ref="A2:G37" xr:uid="{4D2F9EC4-96D7-4A28-81DD-C51B15084412}"/>
  <mergeCells count="9">
    <mergeCell ref="D1:G1"/>
    <mergeCell ref="H1:L1"/>
    <mergeCell ref="Q2:R2"/>
    <mergeCell ref="M1:R1"/>
    <mergeCell ref="A38:B38"/>
    <mergeCell ref="V7:X7"/>
    <mergeCell ref="W4:AC4"/>
    <mergeCell ref="W5:AC5"/>
    <mergeCell ref="V2:AC2"/>
  </mergeCells>
  <conditionalFormatting sqref="A38 B3:B36">
    <cfRule type="duplicateValues" dxfId="568" priority="70"/>
  </conditionalFormatting>
  <dataValidations count="3">
    <dataValidation type="list" allowBlank="1" showInputMessage="1" showErrorMessage="1" sqref="F3:F36" xr:uid="{FFFBE0F7-B1AE-4B40-B1B1-15169B529B6C}">
      <formula1>$V$3:$V$5</formula1>
    </dataValidation>
    <dataValidation type="list" allowBlank="1" showInputMessage="1" showErrorMessage="1" sqref="G3:G36" xr:uid="{DB2473EA-8813-44F6-B70E-6CA2FE0FD58B}">
      <formula1>$F$3:$F$5</formula1>
    </dataValidation>
    <dataValidation type="list" allowBlank="1" showInputMessage="1" showErrorMessage="1" sqref="D3:E36" xr:uid="{A0941562-D396-4782-A67A-06F1D85EF7DA}">
      <formula1>$G$3:$G$5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B9550-EE87-4E36-A0E2-5D0555942034}">
  <sheetPr codeName="Sheet4">
    <tabColor rgb="FFB8EC84"/>
    <pageSetUpPr fitToPage="1"/>
  </sheetPr>
  <dimension ref="A1:AC183"/>
  <sheetViews>
    <sheetView topLeftCell="A125" zoomScale="79" zoomScaleNormal="55" workbookViewId="0">
      <selection activeCell="U186" sqref="U186"/>
    </sheetView>
  </sheetViews>
  <sheetFormatPr defaultRowHeight="14.5" x14ac:dyDescent="0.35"/>
  <cols>
    <col min="2" max="2" width="62" bestFit="1" customWidth="1"/>
    <col min="3" max="3" width="23.54296875" customWidth="1"/>
    <col min="4" max="4" width="21.54296875" customWidth="1"/>
    <col min="5" max="5" width="27.81640625" bestFit="1" customWidth="1"/>
    <col min="6" max="6" width="22.453125" customWidth="1"/>
    <col min="7" max="7" width="10.7265625" customWidth="1"/>
    <col min="8" max="8" width="10.1796875" customWidth="1"/>
    <col min="9" max="9" width="10.453125" customWidth="1"/>
    <col min="10" max="10" width="11.81640625" customWidth="1"/>
    <col min="11" max="11" width="10.453125" customWidth="1"/>
    <col min="12" max="12" width="9.81640625" customWidth="1"/>
    <col min="13" max="14" width="10.453125" customWidth="1"/>
    <col min="15" max="15" width="3.453125" customWidth="1"/>
    <col min="16" max="16" width="12.7265625" style="11" bestFit="1" customWidth="1"/>
    <col min="17" max="17" width="3.453125" customWidth="1"/>
    <col min="19" max="19" width="8.7265625" style="93"/>
    <col min="29" max="29" width="88.54296875" bestFit="1" customWidth="1"/>
  </cols>
  <sheetData>
    <row r="1" spans="1:29" ht="20.5" customHeight="1" x14ac:dyDescent="0.35">
      <c r="A1" s="436" t="s">
        <v>95</v>
      </c>
      <c r="B1" s="436"/>
      <c r="C1" s="436"/>
      <c r="D1" s="436"/>
      <c r="E1" s="436"/>
      <c r="F1" s="77"/>
      <c r="G1" s="456" t="s">
        <v>96</v>
      </c>
      <c r="H1" s="457"/>
      <c r="I1" s="457"/>
      <c r="J1" s="457"/>
      <c r="K1" s="457"/>
      <c r="L1" s="457"/>
      <c r="M1" s="457"/>
      <c r="N1" s="458"/>
      <c r="O1" s="438" t="s">
        <v>97</v>
      </c>
      <c r="P1" s="439"/>
      <c r="Q1" s="439"/>
      <c r="R1" s="439"/>
      <c r="S1" s="439"/>
      <c r="T1" s="439"/>
      <c r="U1" s="439"/>
      <c r="V1" s="439"/>
      <c r="W1" s="439"/>
      <c r="X1" s="439"/>
      <c r="Y1" s="440"/>
    </row>
    <row r="2" spans="1:29" ht="26.15" customHeight="1" x14ac:dyDescent="0.35">
      <c r="A2" s="437"/>
      <c r="B2" s="437"/>
      <c r="C2" s="437"/>
      <c r="D2" s="437"/>
      <c r="E2" s="437"/>
      <c r="F2" s="78" t="s">
        <v>98</v>
      </c>
      <c r="G2" s="450" t="s">
        <v>99</v>
      </c>
      <c r="H2" s="451"/>
      <c r="I2" s="451"/>
      <c r="J2" s="452"/>
      <c r="K2" s="453" t="s">
        <v>100</v>
      </c>
      <c r="L2" s="454"/>
      <c r="M2" s="454"/>
      <c r="N2" s="455"/>
      <c r="O2" s="441" t="s">
        <v>101</v>
      </c>
      <c r="P2" s="442"/>
      <c r="Q2" s="442"/>
      <c r="R2" s="442"/>
      <c r="S2" s="443"/>
      <c r="T2" s="444" t="s">
        <v>102</v>
      </c>
      <c r="U2" s="444"/>
      <c r="V2" s="444"/>
      <c r="W2" s="444"/>
      <c r="X2" s="444"/>
      <c r="Y2" s="445"/>
    </row>
    <row r="3" spans="1:29" ht="29.5" customHeight="1" x14ac:dyDescent="0.35">
      <c r="A3" s="9" t="s">
        <v>34</v>
      </c>
      <c r="B3" s="9" t="s">
        <v>103</v>
      </c>
      <c r="C3" s="54" t="s">
        <v>104</v>
      </c>
      <c r="D3" s="54" t="s">
        <v>105</v>
      </c>
      <c r="E3" s="106" t="s">
        <v>106</v>
      </c>
      <c r="F3" s="10" t="s">
        <v>107</v>
      </c>
      <c r="G3" s="70" t="s">
        <v>37</v>
      </c>
      <c r="H3" s="70" t="s">
        <v>38</v>
      </c>
      <c r="I3" s="70" t="s">
        <v>39</v>
      </c>
      <c r="J3" s="79" t="s">
        <v>40</v>
      </c>
      <c r="K3" s="80" t="s">
        <v>37</v>
      </c>
      <c r="L3" s="81" t="s">
        <v>38</v>
      </c>
      <c r="M3" s="70" t="s">
        <v>39</v>
      </c>
      <c r="N3" s="81" t="s">
        <v>40</v>
      </c>
      <c r="O3" s="73"/>
      <c r="P3" s="96" t="s">
        <v>108</v>
      </c>
      <c r="Q3" s="42"/>
      <c r="R3" s="448" t="s">
        <v>109</v>
      </c>
      <c r="S3" s="449"/>
      <c r="T3" s="22" t="s">
        <v>37</v>
      </c>
      <c r="U3" s="22" t="s">
        <v>38</v>
      </c>
      <c r="V3" s="22" t="s">
        <v>39</v>
      </c>
      <c r="W3" s="22" t="s">
        <v>40</v>
      </c>
      <c r="X3" s="97" t="s">
        <v>110</v>
      </c>
      <c r="Y3" s="98" t="s">
        <v>42</v>
      </c>
      <c r="AB3" s="446" t="s">
        <v>3307</v>
      </c>
      <c r="AC3" s="447"/>
    </row>
    <row r="4" spans="1:29" ht="16" x14ac:dyDescent="0.35">
      <c r="A4" s="66">
        <v>1</v>
      </c>
      <c r="B4" s="63" t="s">
        <v>48</v>
      </c>
      <c r="C4" s="56"/>
      <c r="D4" s="56"/>
      <c r="E4" s="65" t="s">
        <v>112</v>
      </c>
      <c r="F4" s="74" t="str">
        <f>IFERROR(VLOOKUP(B4,'Categories List'!B$2:C$36,2,FALSE),"")</f>
        <v>Priority 1</v>
      </c>
      <c r="G4" s="65"/>
      <c r="H4" s="56"/>
      <c r="I4" s="56"/>
      <c r="J4" s="76"/>
      <c r="K4" s="57"/>
      <c r="L4" s="57"/>
      <c r="M4" s="57"/>
      <c r="N4" s="56"/>
      <c r="O4" s="31"/>
      <c r="P4" s="95"/>
      <c r="R4" s="94"/>
      <c r="S4" s="94"/>
      <c r="T4" s="99">
        <v>0</v>
      </c>
      <c r="U4" s="11">
        <v>0</v>
      </c>
      <c r="V4" s="11">
        <v>0</v>
      </c>
      <c r="W4" s="17">
        <v>0</v>
      </c>
      <c r="X4" s="17">
        <v>0</v>
      </c>
      <c r="Y4" s="17">
        <v>0</v>
      </c>
      <c r="AB4" s="215" t="s">
        <v>113</v>
      </c>
      <c r="AC4" s="157" t="s">
        <v>114</v>
      </c>
    </row>
    <row r="5" spans="1:29" x14ac:dyDescent="0.35">
      <c r="A5" s="7">
        <v>1.1000000000000001</v>
      </c>
      <c r="B5" s="53" t="s">
        <v>115</v>
      </c>
      <c r="C5" t="s">
        <v>116</v>
      </c>
      <c r="D5" t="s">
        <v>117</v>
      </c>
      <c r="E5" s="31" t="s">
        <v>112</v>
      </c>
      <c r="F5" s="11" t="str">
        <f>IFERROR(VLOOKUP(B5,'Categories List'!B$2:C$36,2,FALSE),"")</f>
        <v/>
      </c>
      <c r="G5" s="26" t="s">
        <v>118</v>
      </c>
      <c r="H5" s="26" t="s">
        <v>119</v>
      </c>
      <c r="I5" s="26" t="s">
        <v>119</v>
      </c>
      <c r="J5" s="82" t="s">
        <v>118</v>
      </c>
      <c r="K5" s="17" t="s">
        <v>119</v>
      </c>
      <c r="L5" s="11" t="s">
        <v>119</v>
      </c>
      <c r="M5" s="26" t="s">
        <v>120</v>
      </c>
      <c r="N5" s="11" t="s">
        <v>119</v>
      </c>
      <c r="O5" s="42"/>
      <c r="P5" s="11" t="str">
        <f t="shared" ref="P5:P12" si="0">IF(COUNTIF(K5:N5,"Yes")&gt;0,"Yes",IF(COUNTIF(K5:N5,"Maybe")&gt;0,"Maybe","No"))</f>
        <v>Maybe</v>
      </c>
      <c r="Q5" s="42"/>
      <c r="R5" t="str">
        <f t="shared" ref="R5:R12" si="1">IF(COUNTIF(L5:O5,"Yes")&gt;0,"Yes",IF(COUNTIF(L5:O5,"Maybe")&gt;1,"Maybe","No"))</f>
        <v>No</v>
      </c>
      <c r="S5" s="32"/>
      <c r="T5" s="11">
        <f>IF(K5="Yes",1,IF(K5="Maybe",0.5,0))</f>
        <v>0</v>
      </c>
      <c r="U5" s="11">
        <f t="shared" ref="U5:U36" si="2">IF(L5="Yes",1,IF(L5="Maybe",0.5,0))</f>
        <v>0</v>
      </c>
      <c r="V5" s="11">
        <f t="shared" ref="V5:V36" si="3">IF(M5="Yes",1,IF(M5="Maybe",0.5,0))</f>
        <v>0.5</v>
      </c>
      <c r="W5" s="17">
        <f t="shared" ref="W5:W36" si="4">IF(N5="Yes",1,IF(N5="Maybe",0.5,0))</f>
        <v>0</v>
      </c>
      <c r="X5" s="17">
        <f>SUM(T5:W5)/4</f>
        <v>0.125</v>
      </c>
      <c r="Y5" s="17">
        <f>+IF(X5&gt;0.49,1,0)</f>
        <v>0</v>
      </c>
      <c r="AB5" s="216" t="s">
        <v>121</v>
      </c>
      <c r="AC5" s="157" t="s">
        <v>122</v>
      </c>
    </row>
    <row r="6" spans="1:29" x14ac:dyDescent="0.35">
      <c r="A6" s="7">
        <v>1.2</v>
      </c>
      <c r="B6" s="53" t="s">
        <v>123</v>
      </c>
      <c r="C6" t="s">
        <v>124</v>
      </c>
      <c r="D6" t="s">
        <v>125</v>
      </c>
      <c r="E6" s="31" t="s">
        <v>112</v>
      </c>
      <c r="F6" s="11" t="str">
        <f>IFERROR(VLOOKUP(B6,'Categories List'!B$2:C$36,2,FALSE),"")</f>
        <v/>
      </c>
      <c r="G6" s="26" t="s">
        <v>118</v>
      </c>
      <c r="H6" s="26" t="s">
        <v>119</v>
      </c>
      <c r="I6" s="26" t="s">
        <v>119</v>
      </c>
      <c r="J6" s="82" t="s">
        <v>119</v>
      </c>
      <c r="K6" s="17" t="s">
        <v>118</v>
      </c>
      <c r="L6" s="11" t="s">
        <v>118</v>
      </c>
      <c r="M6" s="26" t="s">
        <v>118</v>
      </c>
      <c r="N6" s="11" t="s">
        <v>118</v>
      </c>
      <c r="O6" s="42"/>
      <c r="P6" s="11" t="str">
        <f t="shared" si="0"/>
        <v>Yes</v>
      </c>
      <c r="Q6" s="42"/>
      <c r="R6" t="str">
        <f t="shared" si="1"/>
        <v>Yes</v>
      </c>
      <c r="S6" s="32" t="str">
        <f t="shared" ref="S6:S11" si="5">IF(OR(P6="Yes", P6="Maybe"),B6,0)</f>
        <v>Community Energy Management Systems (CEMS)</v>
      </c>
      <c r="T6" s="11">
        <f t="shared" ref="T6:T36" si="6">IF(K6="Yes",1,IF(K6="Maybe",0.5,0))</f>
        <v>1</v>
      </c>
      <c r="U6" s="11">
        <f t="shared" si="2"/>
        <v>1</v>
      </c>
      <c r="V6" s="11">
        <f t="shared" si="3"/>
        <v>1</v>
      </c>
      <c r="W6" s="17">
        <f t="shared" si="4"/>
        <v>1</v>
      </c>
      <c r="X6" s="17">
        <f t="shared" ref="X6:X69" si="7">SUM(T6:W6)/4</f>
        <v>1</v>
      </c>
      <c r="Y6" s="17">
        <f t="shared" ref="Y6:Y69" si="8">+IF(X6&gt;0.49,1,0)</f>
        <v>1</v>
      </c>
      <c r="AB6" s="217" t="s">
        <v>126</v>
      </c>
      <c r="AC6" s="157" t="s">
        <v>127</v>
      </c>
    </row>
    <row r="7" spans="1:29" x14ac:dyDescent="0.35">
      <c r="A7" s="7">
        <v>1.3</v>
      </c>
      <c r="B7" s="53" t="s">
        <v>128</v>
      </c>
      <c r="C7" t="s">
        <v>129</v>
      </c>
      <c r="D7" t="s">
        <v>130</v>
      </c>
      <c r="E7" s="31" t="s">
        <v>112</v>
      </c>
      <c r="F7" s="11" t="str">
        <f>IFERROR(VLOOKUP(B7,'Categories List'!B$2:C$36,2,FALSE),"")</f>
        <v/>
      </c>
      <c r="G7" s="26" t="s">
        <v>118</v>
      </c>
      <c r="H7" s="26" t="s">
        <v>120</v>
      </c>
      <c r="I7" s="26" t="s">
        <v>119</v>
      </c>
      <c r="J7" s="82" t="s">
        <v>120</v>
      </c>
      <c r="K7" s="17" t="s">
        <v>118</v>
      </c>
      <c r="L7" s="11" t="s">
        <v>118</v>
      </c>
      <c r="M7" s="26" t="s">
        <v>118</v>
      </c>
      <c r="N7" s="11" t="s">
        <v>118</v>
      </c>
      <c r="O7" s="42"/>
      <c r="P7" s="11" t="str">
        <f t="shared" si="0"/>
        <v>Yes</v>
      </c>
      <c r="Q7" s="42"/>
      <c r="R7" t="str">
        <f t="shared" si="1"/>
        <v>Yes</v>
      </c>
      <c r="S7" s="32" t="str">
        <f t="shared" si="5"/>
        <v>Home Energy Management Systems (HEMS)</v>
      </c>
      <c r="T7" s="11">
        <f t="shared" si="6"/>
        <v>1</v>
      </c>
      <c r="U7" s="11">
        <f t="shared" si="2"/>
        <v>1</v>
      </c>
      <c r="V7" s="11">
        <f t="shared" si="3"/>
        <v>1</v>
      </c>
      <c r="W7" s="17">
        <f t="shared" si="4"/>
        <v>1</v>
      </c>
      <c r="X7" s="17">
        <f t="shared" si="7"/>
        <v>1</v>
      </c>
      <c r="Y7" s="17">
        <f t="shared" si="8"/>
        <v>1</v>
      </c>
    </row>
    <row r="8" spans="1:29" x14ac:dyDescent="0.35">
      <c r="A8" s="7">
        <v>1.4</v>
      </c>
      <c r="B8" s="53" t="s">
        <v>131</v>
      </c>
      <c r="C8" t="s">
        <v>132</v>
      </c>
      <c r="D8" t="s">
        <v>133</v>
      </c>
      <c r="E8" s="31" t="s">
        <v>112</v>
      </c>
      <c r="F8" s="11" t="str">
        <f>IFERROR(VLOOKUP(B8,'Categories List'!B$2:C$36,2,FALSE),"")</f>
        <v/>
      </c>
      <c r="G8" s="26" t="s">
        <v>118</v>
      </c>
      <c r="H8" s="26" t="s">
        <v>119</v>
      </c>
      <c r="I8" s="26" t="s">
        <v>119</v>
      </c>
      <c r="J8" s="82" t="s">
        <v>119</v>
      </c>
      <c r="K8" s="17" t="s">
        <v>118</v>
      </c>
      <c r="L8" s="11" t="s">
        <v>118</v>
      </c>
      <c r="M8" s="26" t="s">
        <v>118</v>
      </c>
      <c r="N8" s="11" t="s">
        <v>120</v>
      </c>
      <c r="O8" s="42"/>
      <c r="P8" s="11" t="str">
        <f t="shared" si="0"/>
        <v>Yes</v>
      </c>
      <c r="Q8" s="42"/>
      <c r="R8" t="str">
        <f t="shared" si="1"/>
        <v>Yes</v>
      </c>
      <c r="S8" s="32" t="str">
        <f t="shared" si="5"/>
        <v>Demand Response Systems</v>
      </c>
      <c r="T8" s="11">
        <f t="shared" si="6"/>
        <v>1</v>
      </c>
      <c r="U8" s="11">
        <f t="shared" si="2"/>
        <v>1</v>
      </c>
      <c r="V8" s="11">
        <f t="shared" si="3"/>
        <v>1</v>
      </c>
      <c r="W8" s="17">
        <f t="shared" si="4"/>
        <v>0.5</v>
      </c>
      <c r="X8" s="17">
        <f t="shared" si="7"/>
        <v>0.875</v>
      </c>
      <c r="Y8" s="17">
        <f t="shared" si="8"/>
        <v>1</v>
      </c>
    </row>
    <row r="9" spans="1:29" x14ac:dyDescent="0.35">
      <c r="A9" s="7">
        <v>1.5</v>
      </c>
      <c r="B9" s="53" t="s">
        <v>134</v>
      </c>
      <c r="C9" t="s">
        <v>135</v>
      </c>
      <c r="D9" t="s">
        <v>136</v>
      </c>
      <c r="E9" s="31" t="s">
        <v>112</v>
      </c>
      <c r="F9" s="11" t="str">
        <f>IFERROR(VLOOKUP(B9,'Categories List'!B$2:C$36,2,FALSE),"")</f>
        <v/>
      </c>
      <c r="G9" s="26" t="s">
        <v>119</v>
      </c>
      <c r="H9" s="26" t="s">
        <v>119</v>
      </c>
      <c r="I9" s="26" t="s">
        <v>119</v>
      </c>
      <c r="J9" s="82" t="s">
        <v>119</v>
      </c>
      <c r="K9" s="17" t="s">
        <v>119</v>
      </c>
      <c r="L9" s="11" t="s">
        <v>119</v>
      </c>
      <c r="M9" s="26" t="s">
        <v>119</v>
      </c>
      <c r="N9" s="11" t="s">
        <v>120</v>
      </c>
      <c r="O9" s="42"/>
      <c r="P9" s="11" t="str">
        <f t="shared" si="0"/>
        <v>Maybe</v>
      </c>
      <c r="Q9" s="42"/>
      <c r="R9" t="str">
        <f t="shared" si="1"/>
        <v>No</v>
      </c>
      <c r="S9" s="32" t="str">
        <f t="shared" si="5"/>
        <v>SCADA Systems (Supervisory Control and Data Acquisition)</v>
      </c>
      <c r="T9" s="11">
        <f t="shared" si="6"/>
        <v>0</v>
      </c>
      <c r="U9" s="11">
        <f t="shared" si="2"/>
        <v>0</v>
      </c>
      <c r="V9" s="11">
        <f t="shared" si="3"/>
        <v>0</v>
      </c>
      <c r="W9" s="17">
        <f t="shared" si="4"/>
        <v>0.5</v>
      </c>
      <c r="X9" s="17">
        <f t="shared" si="7"/>
        <v>0.125</v>
      </c>
      <c r="Y9" s="17">
        <f t="shared" si="8"/>
        <v>0</v>
      </c>
    </row>
    <row r="10" spans="1:29" x14ac:dyDescent="0.35">
      <c r="A10" s="7">
        <v>1.6</v>
      </c>
      <c r="B10" s="53" t="s">
        <v>137</v>
      </c>
      <c r="C10" t="s">
        <v>138</v>
      </c>
      <c r="D10" t="s">
        <v>139</v>
      </c>
      <c r="E10" s="31" t="s">
        <v>112</v>
      </c>
      <c r="F10" s="11" t="str">
        <f>IFERROR(VLOOKUP(B10,'Categories List'!B$2:C$36,2,FALSE),"")</f>
        <v/>
      </c>
      <c r="G10" s="26" t="s">
        <v>118</v>
      </c>
      <c r="H10" s="26" t="s">
        <v>119</v>
      </c>
      <c r="I10" s="26" t="s">
        <v>119</v>
      </c>
      <c r="J10" s="82" t="s">
        <v>118</v>
      </c>
      <c r="K10" s="17" t="s">
        <v>119</v>
      </c>
      <c r="L10" s="11" t="s">
        <v>120</v>
      </c>
      <c r="M10" s="26" t="s">
        <v>118</v>
      </c>
      <c r="N10" s="11" t="s">
        <v>118</v>
      </c>
      <c r="O10" s="42"/>
      <c r="P10" s="11" t="str">
        <f t="shared" si="0"/>
        <v>Yes</v>
      </c>
      <c r="Q10" s="42"/>
      <c r="R10" t="str">
        <f t="shared" si="1"/>
        <v>Yes</v>
      </c>
      <c r="S10" s="32" t="str">
        <f t="shared" si="5"/>
        <v>Real-Time Energy Monitoring Platforms</v>
      </c>
      <c r="T10" s="11">
        <f t="shared" si="6"/>
        <v>0</v>
      </c>
      <c r="U10" s="11">
        <f t="shared" si="2"/>
        <v>0.5</v>
      </c>
      <c r="V10" s="11">
        <f t="shared" si="3"/>
        <v>1</v>
      </c>
      <c r="W10" s="17">
        <f t="shared" si="4"/>
        <v>1</v>
      </c>
      <c r="X10" s="17">
        <f t="shared" si="7"/>
        <v>0.625</v>
      </c>
      <c r="Y10" s="17">
        <f t="shared" si="8"/>
        <v>1</v>
      </c>
    </row>
    <row r="11" spans="1:29" x14ac:dyDescent="0.35">
      <c r="A11" s="7">
        <v>1.7</v>
      </c>
      <c r="B11" s="53" t="s">
        <v>140</v>
      </c>
      <c r="C11" t="s">
        <v>141</v>
      </c>
      <c r="D11" t="s">
        <v>142</v>
      </c>
      <c r="E11" s="31" t="s">
        <v>112</v>
      </c>
      <c r="F11" s="11" t="str">
        <f>IFERROR(VLOOKUP(B11,'Categories List'!B$2:C$36,2,FALSE),"")</f>
        <v/>
      </c>
      <c r="G11" s="26" t="s">
        <v>119</v>
      </c>
      <c r="H11" s="26" t="s">
        <v>119</v>
      </c>
      <c r="I11" s="26" t="s">
        <v>119</v>
      </c>
      <c r="J11" s="82" t="s">
        <v>119</v>
      </c>
      <c r="K11" s="17" t="s">
        <v>120</v>
      </c>
      <c r="L11" s="11" t="s">
        <v>120</v>
      </c>
      <c r="M11" s="26" t="s">
        <v>120</v>
      </c>
      <c r="N11" s="11" t="s">
        <v>120</v>
      </c>
      <c r="O11" s="42"/>
      <c r="P11" s="11" t="str">
        <f t="shared" si="0"/>
        <v>Maybe</v>
      </c>
      <c r="Q11" s="42"/>
      <c r="R11" t="str">
        <f t="shared" si="1"/>
        <v>Maybe</v>
      </c>
      <c r="S11" s="32" t="str">
        <f t="shared" si="5"/>
        <v>Energy Analytics Platforms</v>
      </c>
      <c r="T11" s="11">
        <f t="shared" si="6"/>
        <v>0.5</v>
      </c>
      <c r="U11" s="11">
        <f t="shared" si="2"/>
        <v>0.5</v>
      </c>
      <c r="V11" s="11">
        <f t="shared" si="3"/>
        <v>0.5</v>
      </c>
      <c r="W11" s="17">
        <f t="shared" si="4"/>
        <v>0.5</v>
      </c>
      <c r="X11" s="17">
        <f t="shared" si="7"/>
        <v>0.5</v>
      </c>
      <c r="Y11" s="17">
        <f t="shared" si="8"/>
        <v>1</v>
      </c>
    </row>
    <row r="12" spans="1:29" x14ac:dyDescent="0.35">
      <c r="A12" s="7">
        <v>1.8</v>
      </c>
      <c r="B12" s="53" t="s">
        <v>143</v>
      </c>
      <c r="C12" t="s">
        <v>144</v>
      </c>
      <c r="E12" s="31" t="s">
        <v>112</v>
      </c>
      <c r="F12" s="11" t="str">
        <f>IFERROR(VLOOKUP(B12,'Categories List'!B$2:C$36,2,FALSE),"")</f>
        <v/>
      </c>
      <c r="G12" s="27" t="s">
        <v>119</v>
      </c>
      <c r="H12" s="27" t="s">
        <v>119</v>
      </c>
      <c r="I12" s="27" t="s">
        <v>119</v>
      </c>
      <c r="J12" s="83" t="s">
        <v>119</v>
      </c>
      <c r="K12" s="20" t="s">
        <v>119</v>
      </c>
      <c r="L12" s="19" t="s">
        <v>120</v>
      </c>
      <c r="M12" s="27" t="s">
        <v>120</v>
      </c>
      <c r="N12" s="19" t="s">
        <v>119</v>
      </c>
      <c r="O12" s="42"/>
      <c r="P12" s="11" t="str">
        <f t="shared" si="0"/>
        <v>Maybe</v>
      </c>
      <c r="Q12" s="42"/>
      <c r="R12" t="str">
        <f t="shared" si="1"/>
        <v>Maybe</v>
      </c>
      <c r="S12" s="32"/>
      <c r="T12" s="11">
        <f t="shared" si="6"/>
        <v>0</v>
      </c>
      <c r="U12" s="11">
        <f t="shared" si="2"/>
        <v>0.5</v>
      </c>
      <c r="V12" s="11">
        <f t="shared" si="3"/>
        <v>0.5</v>
      </c>
      <c r="W12" s="17">
        <f t="shared" si="4"/>
        <v>0</v>
      </c>
      <c r="X12" s="17">
        <f t="shared" si="7"/>
        <v>0.25</v>
      </c>
      <c r="Y12" s="17">
        <f t="shared" si="8"/>
        <v>0</v>
      </c>
    </row>
    <row r="13" spans="1:29" ht="16" x14ac:dyDescent="0.35">
      <c r="A13" s="62">
        <v>2</v>
      </c>
      <c r="B13" s="63" t="s">
        <v>51</v>
      </c>
      <c r="C13" s="56"/>
      <c r="D13" s="56"/>
      <c r="E13" s="65" t="s">
        <v>112</v>
      </c>
      <c r="F13" s="58" t="str">
        <f>IFERROR(VLOOKUP(B13,'Categories List'!B$2:C$36,2,FALSE),"")</f>
        <v>Priority 2</v>
      </c>
      <c r="G13" s="61"/>
      <c r="H13" s="61"/>
      <c r="I13" s="61"/>
      <c r="J13" s="84"/>
      <c r="K13" s="85"/>
      <c r="L13" s="86"/>
      <c r="M13" s="21"/>
      <c r="N13" s="87"/>
      <c r="O13" s="42"/>
      <c r="Q13" s="42"/>
      <c r="S13" s="32"/>
      <c r="T13" s="11">
        <f t="shared" si="6"/>
        <v>0</v>
      </c>
      <c r="U13" s="11">
        <f t="shared" si="2"/>
        <v>0</v>
      </c>
      <c r="V13" s="11">
        <f t="shared" si="3"/>
        <v>0</v>
      </c>
      <c r="W13" s="17">
        <f t="shared" si="4"/>
        <v>0</v>
      </c>
      <c r="X13" s="17">
        <f t="shared" si="7"/>
        <v>0</v>
      </c>
      <c r="Y13" s="17">
        <f t="shared" si="8"/>
        <v>0</v>
      </c>
    </row>
    <row r="14" spans="1:29" x14ac:dyDescent="0.35">
      <c r="A14" s="7">
        <v>2.1</v>
      </c>
      <c r="B14" s="53" t="s">
        <v>145</v>
      </c>
      <c r="C14" t="s">
        <v>146</v>
      </c>
      <c r="D14" t="s">
        <v>147</v>
      </c>
      <c r="E14" s="31" t="s">
        <v>112</v>
      </c>
      <c r="F14" s="11" t="str">
        <f>IFERROR(VLOOKUP(B14,'Categories List'!B$2:C$36,2,FALSE),"")</f>
        <v/>
      </c>
      <c r="G14" s="88" t="s">
        <v>118</v>
      </c>
      <c r="H14" s="88" t="s">
        <v>119</v>
      </c>
      <c r="I14" s="88" t="s">
        <v>119</v>
      </c>
      <c r="J14" s="89" t="s">
        <v>119</v>
      </c>
      <c r="K14" s="90" t="s">
        <v>120</v>
      </c>
      <c r="L14" s="91" t="s">
        <v>120</v>
      </c>
      <c r="M14" s="88" t="s">
        <v>120</v>
      </c>
      <c r="N14" s="91" t="s">
        <v>119</v>
      </c>
      <c r="O14" s="42"/>
      <c r="P14" s="11" t="str">
        <f t="shared" ref="P14:P20" si="9">IF(COUNTIF(K14:N14,"Yes")&gt;0,"Yes",IF(COUNTIF(K14:N14,"Maybe")&gt;0,"Maybe","No"))</f>
        <v>Maybe</v>
      </c>
      <c r="Q14" s="42"/>
      <c r="R14" t="str">
        <f t="shared" ref="R14:R20" si="10">IF(COUNTIF(L14:O14,"Yes")&gt;0,"Yes",IF(COUNTIF(L14:O14,"Maybe")&gt;1,"Maybe","No"))</f>
        <v>Maybe</v>
      </c>
      <c r="S14" s="32" t="str">
        <f t="shared" ref="S14:S20" si="11">IF(OR(P14="Yes", P14="Maybe"),B14,0)</f>
        <v>Smart Grids</v>
      </c>
      <c r="T14" s="11">
        <f t="shared" si="6"/>
        <v>0.5</v>
      </c>
      <c r="U14" s="11">
        <f t="shared" si="2"/>
        <v>0.5</v>
      </c>
      <c r="V14" s="11">
        <f t="shared" si="3"/>
        <v>0.5</v>
      </c>
      <c r="W14" s="17">
        <f t="shared" si="4"/>
        <v>0</v>
      </c>
      <c r="X14" s="17">
        <f t="shared" si="7"/>
        <v>0.375</v>
      </c>
      <c r="Y14" s="17">
        <f t="shared" si="8"/>
        <v>0</v>
      </c>
    </row>
    <row r="15" spans="1:29" x14ac:dyDescent="0.35">
      <c r="A15" s="7">
        <v>2.2000000000000002</v>
      </c>
      <c r="B15" s="53" t="s">
        <v>148</v>
      </c>
      <c r="C15" t="s">
        <v>149</v>
      </c>
      <c r="D15" t="s">
        <v>150</v>
      </c>
      <c r="E15" s="31" t="s">
        <v>112</v>
      </c>
      <c r="F15" s="11" t="str">
        <f>IFERROR(VLOOKUP(B15,'Categories List'!B$2:C$36,2,FALSE),"")</f>
        <v/>
      </c>
      <c r="G15" s="26" t="s">
        <v>119</v>
      </c>
      <c r="H15" s="71" t="s">
        <v>118</v>
      </c>
      <c r="I15" s="26" t="s">
        <v>119</v>
      </c>
      <c r="J15" s="82" t="s">
        <v>119</v>
      </c>
      <c r="K15" s="17" t="s">
        <v>120</v>
      </c>
      <c r="L15" s="11" t="s">
        <v>120</v>
      </c>
      <c r="M15" s="26" t="s">
        <v>118</v>
      </c>
      <c r="N15" s="11" t="s">
        <v>119</v>
      </c>
      <c r="O15" s="42"/>
      <c r="P15" s="11" t="str">
        <f t="shared" si="9"/>
        <v>Yes</v>
      </c>
      <c r="Q15" s="42"/>
      <c r="R15" t="str">
        <f t="shared" si="10"/>
        <v>Yes</v>
      </c>
      <c r="S15" s="32" t="str">
        <f t="shared" si="11"/>
        <v>Peer-to-Peer (P2P) Energy Trading Platforms</v>
      </c>
      <c r="T15" s="11">
        <f t="shared" si="6"/>
        <v>0.5</v>
      </c>
      <c r="U15" s="11">
        <f t="shared" si="2"/>
        <v>0.5</v>
      </c>
      <c r="V15" s="11">
        <f t="shared" si="3"/>
        <v>1</v>
      </c>
      <c r="W15" s="17">
        <f t="shared" si="4"/>
        <v>0</v>
      </c>
      <c r="X15" s="17">
        <f t="shared" si="7"/>
        <v>0.5</v>
      </c>
      <c r="Y15" s="17">
        <f t="shared" si="8"/>
        <v>1</v>
      </c>
    </row>
    <row r="16" spans="1:29" x14ac:dyDescent="0.35">
      <c r="A16" s="7">
        <v>2.2999999999999998</v>
      </c>
      <c r="B16" s="53" t="s">
        <v>151</v>
      </c>
      <c r="C16" t="s">
        <v>152</v>
      </c>
      <c r="D16" t="s">
        <v>153</v>
      </c>
      <c r="E16" s="31" t="s">
        <v>112</v>
      </c>
      <c r="F16" s="11" t="str">
        <f>IFERROR(VLOOKUP(B16,'Categories List'!B$2:C$36,2,FALSE),"")</f>
        <v/>
      </c>
      <c r="G16" s="26" t="s">
        <v>118</v>
      </c>
      <c r="H16" s="26" t="s">
        <v>119</v>
      </c>
      <c r="I16" s="26" t="s">
        <v>119</v>
      </c>
      <c r="J16" s="82" t="s">
        <v>119</v>
      </c>
      <c r="K16" s="17" t="s">
        <v>120</v>
      </c>
      <c r="L16" s="11" t="s">
        <v>120</v>
      </c>
      <c r="M16" s="26" t="s">
        <v>118</v>
      </c>
      <c r="N16" s="11" t="s">
        <v>120</v>
      </c>
      <c r="O16" s="42"/>
      <c r="P16" s="11" t="str">
        <f t="shared" si="9"/>
        <v>Yes</v>
      </c>
      <c r="Q16" s="42"/>
      <c r="R16" t="str">
        <f t="shared" si="10"/>
        <v>Yes</v>
      </c>
      <c r="S16" s="32" t="str">
        <f t="shared" si="11"/>
        <v>Virtual Power Plants (VPPs)</v>
      </c>
      <c r="T16" s="11">
        <f t="shared" si="6"/>
        <v>0.5</v>
      </c>
      <c r="U16" s="11">
        <f t="shared" si="2"/>
        <v>0.5</v>
      </c>
      <c r="V16" s="11">
        <f t="shared" si="3"/>
        <v>1</v>
      </c>
      <c r="W16" s="17">
        <f t="shared" si="4"/>
        <v>0.5</v>
      </c>
      <c r="X16" s="17">
        <f t="shared" si="7"/>
        <v>0.625</v>
      </c>
      <c r="Y16" s="17">
        <f t="shared" si="8"/>
        <v>1</v>
      </c>
    </row>
    <row r="17" spans="1:25" x14ac:dyDescent="0.35">
      <c r="A17" s="7">
        <v>2.4</v>
      </c>
      <c r="B17" s="53" t="s">
        <v>154</v>
      </c>
      <c r="C17" t="s">
        <v>155</v>
      </c>
      <c r="D17" t="s">
        <v>156</v>
      </c>
      <c r="E17" s="31" t="s">
        <v>112</v>
      </c>
      <c r="F17" s="11" t="str">
        <f>IFERROR(VLOOKUP(B17,'Categories List'!B$2:C$36,2,FALSE),"")</f>
        <v/>
      </c>
      <c r="G17" s="26" t="s">
        <v>119</v>
      </c>
      <c r="H17" s="26" t="s">
        <v>118</v>
      </c>
      <c r="I17" s="26" t="s">
        <v>119</v>
      </c>
      <c r="J17" s="82" t="s">
        <v>119</v>
      </c>
      <c r="K17" s="17" t="s">
        <v>119</v>
      </c>
      <c r="L17" s="11" t="s">
        <v>120</v>
      </c>
      <c r="M17" s="26" t="s">
        <v>118</v>
      </c>
      <c r="N17" s="11" t="s">
        <v>120</v>
      </c>
      <c r="O17" s="42"/>
      <c r="P17" s="11" t="str">
        <f t="shared" si="9"/>
        <v>Yes</v>
      </c>
      <c r="Q17" s="42"/>
      <c r="R17" t="str">
        <f t="shared" si="10"/>
        <v>Yes</v>
      </c>
      <c r="S17" s="32" t="str">
        <f t="shared" si="11"/>
        <v>Energy Trading Tool</v>
      </c>
      <c r="T17" s="11">
        <f t="shared" si="6"/>
        <v>0</v>
      </c>
      <c r="U17" s="11">
        <f t="shared" si="2"/>
        <v>0.5</v>
      </c>
      <c r="V17" s="11">
        <f t="shared" si="3"/>
        <v>1</v>
      </c>
      <c r="W17" s="17">
        <f t="shared" si="4"/>
        <v>0.5</v>
      </c>
      <c r="X17" s="17">
        <f t="shared" si="7"/>
        <v>0.5</v>
      </c>
      <c r="Y17" s="17">
        <f t="shared" si="8"/>
        <v>1</v>
      </c>
    </row>
    <row r="18" spans="1:25" x14ac:dyDescent="0.35">
      <c r="A18" s="7">
        <v>2.5</v>
      </c>
      <c r="B18" s="53" t="s">
        <v>157</v>
      </c>
      <c r="C18" t="s">
        <v>158</v>
      </c>
      <c r="D18" t="s">
        <v>159</v>
      </c>
      <c r="E18" s="31" t="s">
        <v>112</v>
      </c>
      <c r="F18" s="11" t="str">
        <f>IFERROR(VLOOKUP(B18,'Categories List'!B$2:C$36,2,FALSE),"")</f>
        <v/>
      </c>
      <c r="G18" s="26" t="s">
        <v>119</v>
      </c>
      <c r="H18" s="26" t="s">
        <v>119</v>
      </c>
      <c r="I18" s="26" t="s">
        <v>119</v>
      </c>
      <c r="J18" s="82" t="s">
        <v>119</v>
      </c>
      <c r="K18" s="17" t="s">
        <v>120</v>
      </c>
      <c r="L18" s="11" t="s">
        <v>120</v>
      </c>
      <c r="M18" s="26" t="s">
        <v>120</v>
      </c>
      <c r="N18" s="11" t="s">
        <v>119</v>
      </c>
      <c r="O18" s="42"/>
      <c r="P18" s="11" t="str">
        <f t="shared" si="9"/>
        <v>Maybe</v>
      </c>
      <c r="Q18" s="42"/>
      <c r="R18" t="str">
        <f t="shared" si="10"/>
        <v>Maybe</v>
      </c>
      <c r="S18" s="32" t="str">
        <f t="shared" si="11"/>
        <v>Distribution Network Operator (DNO) Management Tools</v>
      </c>
      <c r="T18" s="11">
        <f t="shared" si="6"/>
        <v>0.5</v>
      </c>
      <c r="U18" s="11">
        <f t="shared" si="2"/>
        <v>0.5</v>
      </c>
      <c r="V18" s="11">
        <f t="shared" si="3"/>
        <v>0.5</v>
      </c>
      <c r="W18" s="17">
        <f t="shared" si="4"/>
        <v>0</v>
      </c>
      <c r="X18" s="17">
        <f t="shared" si="7"/>
        <v>0.375</v>
      </c>
      <c r="Y18" s="17">
        <f t="shared" si="8"/>
        <v>0</v>
      </c>
    </row>
    <row r="19" spans="1:25" x14ac:dyDescent="0.35">
      <c r="A19" s="7">
        <v>2.6</v>
      </c>
      <c r="B19" s="53" t="s">
        <v>160</v>
      </c>
      <c r="C19" t="s">
        <v>161</v>
      </c>
      <c r="D19" t="s">
        <v>162</v>
      </c>
      <c r="E19" s="31" t="s">
        <v>112</v>
      </c>
      <c r="F19" s="11" t="str">
        <f>IFERROR(VLOOKUP(B19,'Categories List'!B$2:C$36,2,FALSE),"")</f>
        <v/>
      </c>
      <c r="G19" s="26" t="s">
        <v>119</v>
      </c>
      <c r="H19" s="26" t="s">
        <v>119</v>
      </c>
      <c r="I19" s="26" t="s">
        <v>119</v>
      </c>
      <c r="J19" s="82" t="s">
        <v>119</v>
      </c>
      <c r="K19" s="17" t="s">
        <v>120</v>
      </c>
      <c r="L19" s="11" t="s">
        <v>120</v>
      </c>
      <c r="M19" s="26" t="s">
        <v>118</v>
      </c>
      <c r="N19" s="11" t="s">
        <v>120</v>
      </c>
      <c r="O19" s="42"/>
      <c r="P19" s="11" t="str">
        <f t="shared" si="9"/>
        <v>Yes</v>
      </c>
      <c r="Q19" s="42"/>
      <c r="R19" t="str">
        <f t="shared" si="10"/>
        <v>Yes</v>
      </c>
      <c r="S19" s="32" t="str">
        <f t="shared" si="11"/>
        <v>Grid Balancing Tools</v>
      </c>
      <c r="T19" s="11">
        <f t="shared" si="6"/>
        <v>0.5</v>
      </c>
      <c r="U19" s="11">
        <f t="shared" si="2"/>
        <v>0.5</v>
      </c>
      <c r="V19" s="11">
        <f t="shared" si="3"/>
        <v>1</v>
      </c>
      <c r="W19" s="17">
        <f t="shared" si="4"/>
        <v>0.5</v>
      </c>
      <c r="X19" s="17">
        <f t="shared" si="7"/>
        <v>0.625</v>
      </c>
      <c r="Y19" s="17">
        <f t="shared" si="8"/>
        <v>1</v>
      </c>
    </row>
    <row r="20" spans="1:25" x14ac:dyDescent="0.35">
      <c r="A20" s="7">
        <v>2.7</v>
      </c>
      <c r="B20" s="53" t="s">
        <v>163</v>
      </c>
      <c r="C20" t="s">
        <v>164</v>
      </c>
      <c r="D20" t="s">
        <v>165</v>
      </c>
      <c r="E20" s="31" t="s">
        <v>112</v>
      </c>
      <c r="F20" s="11" t="str">
        <f>IFERROR(VLOOKUP(B20,'Categories List'!B$2:C$36,2,FALSE),"")</f>
        <v/>
      </c>
      <c r="G20" s="27" t="s">
        <v>119</v>
      </c>
      <c r="H20" s="27" t="s">
        <v>119</v>
      </c>
      <c r="I20" s="27" t="s">
        <v>119</v>
      </c>
      <c r="J20" s="83" t="s">
        <v>119</v>
      </c>
      <c r="K20" s="20" t="s">
        <v>118</v>
      </c>
      <c r="L20" s="19" t="s">
        <v>120</v>
      </c>
      <c r="M20" s="27" t="s">
        <v>118</v>
      </c>
      <c r="N20" s="19" t="s">
        <v>119</v>
      </c>
      <c r="O20" s="42"/>
      <c r="P20" s="11" t="str">
        <f t="shared" si="9"/>
        <v>Yes</v>
      </c>
      <c r="Q20" s="42"/>
      <c r="R20" t="str">
        <f t="shared" si="10"/>
        <v>Yes</v>
      </c>
      <c r="S20" s="32" t="str">
        <f t="shared" si="11"/>
        <v>Dynamic Pricing Platforms</v>
      </c>
      <c r="T20" s="11">
        <f t="shared" si="6"/>
        <v>1</v>
      </c>
      <c r="U20" s="11">
        <f t="shared" si="2"/>
        <v>0.5</v>
      </c>
      <c r="V20" s="11">
        <f t="shared" si="3"/>
        <v>1</v>
      </c>
      <c r="W20" s="17">
        <f t="shared" si="4"/>
        <v>0</v>
      </c>
      <c r="X20" s="17">
        <f t="shared" si="7"/>
        <v>0.625</v>
      </c>
      <c r="Y20" s="17">
        <f t="shared" si="8"/>
        <v>1</v>
      </c>
    </row>
    <row r="21" spans="1:25" ht="16" x14ac:dyDescent="0.35">
      <c r="A21" s="62">
        <v>3</v>
      </c>
      <c r="B21" s="63" t="s">
        <v>54</v>
      </c>
      <c r="C21" s="56"/>
      <c r="D21" s="56"/>
      <c r="E21" s="65" t="s">
        <v>112</v>
      </c>
      <c r="F21" s="59" t="str">
        <f>IFERROR(VLOOKUP(B21,'Categories List'!B$2:C$36,2,FALSE),"")</f>
        <v>Priority 3</v>
      </c>
      <c r="G21" s="26"/>
      <c r="H21" s="26"/>
      <c r="I21" s="26"/>
      <c r="J21" s="82"/>
      <c r="K21" s="15"/>
      <c r="L21" s="2"/>
      <c r="M21" s="92"/>
      <c r="N21" s="11"/>
      <c r="O21" s="42"/>
      <c r="Q21" s="42"/>
      <c r="S21" s="32"/>
      <c r="T21" s="11">
        <f t="shared" si="6"/>
        <v>0</v>
      </c>
      <c r="U21" s="11">
        <f t="shared" si="2"/>
        <v>0</v>
      </c>
      <c r="V21" s="11">
        <f t="shared" si="3"/>
        <v>0</v>
      </c>
      <c r="W21" s="17">
        <f t="shared" si="4"/>
        <v>0</v>
      </c>
      <c r="X21" s="17">
        <f t="shared" si="7"/>
        <v>0</v>
      </c>
      <c r="Y21" s="17">
        <f t="shared" si="8"/>
        <v>0</v>
      </c>
    </row>
    <row r="22" spans="1:25" x14ac:dyDescent="0.35">
      <c r="A22" s="7">
        <v>3.1</v>
      </c>
      <c r="B22" s="53" t="s">
        <v>166</v>
      </c>
      <c r="C22" t="s">
        <v>167</v>
      </c>
      <c r="E22" s="31" t="s">
        <v>112</v>
      </c>
      <c r="F22" s="11" t="str">
        <f>IFERROR(VLOOKUP(B22,'Categories List'!B$2:C$36,2,FALSE),"")</f>
        <v/>
      </c>
      <c r="G22" s="88" t="s">
        <v>119</v>
      </c>
      <c r="H22" s="88" t="s">
        <v>119</v>
      </c>
      <c r="I22" s="88" t="s">
        <v>119</v>
      </c>
      <c r="J22" s="89" t="s">
        <v>119</v>
      </c>
      <c r="K22" s="90" t="s">
        <v>119</v>
      </c>
      <c r="L22" s="91" t="s">
        <v>118</v>
      </c>
      <c r="M22" s="88" t="s">
        <v>119</v>
      </c>
      <c r="N22" s="91" t="s">
        <v>119</v>
      </c>
      <c r="O22" s="42"/>
      <c r="P22" s="11" t="str">
        <f t="shared" ref="P22:P28" si="12">IF(COUNTIF(K22:N22,"Yes")&gt;0,"Yes",IF(COUNTIF(K22:N22,"Maybe")&gt;0,"Maybe","No"))</f>
        <v>Yes</v>
      </c>
      <c r="Q22" s="42"/>
      <c r="R22" t="str">
        <f t="shared" ref="R22:R28" si="13">IF(COUNTIF(L22:O22,"Yes")&gt;0,"Yes",IF(COUNTIF(L22:O22,"Maybe")&gt;1,"Maybe","No"))</f>
        <v>Yes</v>
      </c>
      <c r="S22" s="32"/>
      <c r="T22" s="11">
        <f t="shared" si="6"/>
        <v>0</v>
      </c>
      <c r="U22" s="11">
        <f t="shared" si="2"/>
        <v>1</v>
      </c>
      <c r="V22" s="11">
        <f t="shared" si="3"/>
        <v>0</v>
      </c>
      <c r="W22" s="17">
        <f t="shared" si="4"/>
        <v>0</v>
      </c>
      <c r="X22" s="17">
        <f t="shared" si="7"/>
        <v>0.25</v>
      </c>
      <c r="Y22" s="17">
        <f t="shared" si="8"/>
        <v>0</v>
      </c>
    </row>
    <row r="23" spans="1:25" x14ac:dyDescent="0.35">
      <c r="A23" s="7">
        <v>3.2</v>
      </c>
      <c r="B23" s="53" t="s">
        <v>168</v>
      </c>
      <c r="C23" t="s">
        <v>169</v>
      </c>
      <c r="E23" s="31" t="s">
        <v>112</v>
      </c>
      <c r="F23" s="11" t="str">
        <f>IFERROR(VLOOKUP(B23,'Categories List'!B$2:C$36,2,FALSE),"")</f>
        <v/>
      </c>
      <c r="G23" s="26" t="s">
        <v>119</v>
      </c>
      <c r="H23" s="26" t="s">
        <v>119</v>
      </c>
      <c r="I23" s="26" t="s">
        <v>119</v>
      </c>
      <c r="J23" s="82" t="s">
        <v>119</v>
      </c>
      <c r="K23" s="17" t="s">
        <v>119</v>
      </c>
      <c r="L23" s="11" t="s">
        <v>120</v>
      </c>
      <c r="M23" s="26" t="s">
        <v>119</v>
      </c>
      <c r="N23" s="11" t="s">
        <v>119</v>
      </c>
      <c r="O23" s="42"/>
      <c r="P23" s="11" t="str">
        <f t="shared" si="12"/>
        <v>Maybe</v>
      </c>
      <c r="Q23" s="42"/>
      <c r="R23" t="str">
        <f t="shared" si="13"/>
        <v>No</v>
      </c>
      <c r="S23" s="32"/>
      <c r="T23" s="11">
        <f t="shared" si="6"/>
        <v>0</v>
      </c>
      <c r="U23" s="11">
        <f t="shared" si="2"/>
        <v>0.5</v>
      </c>
      <c r="V23" s="11">
        <f t="shared" si="3"/>
        <v>0</v>
      </c>
      <c r="W23" s="17">
        <f t="shared" si="4"/>
        <v>0</v>
      </c>
      <c r="X23" s="17">
        <f t="shared" si="7"/>
        <v>0.125</v>
      </c>
      <c r="Y23" s="17">
        <f t="shared" si="8"/>
        <v>0</v>
      </c>
    </row>
    <row r="24" spans="1:25" x14ac:dyDescent="0.35">
      <c r="A24" s="7">
        <v>3.3</v>
      </c>
      <c r="B24" s="53" t="s">
        <v>170</v>
      </c>
      <c r="C24" t="s">
        <v>171</v>
      </c>
      <c r="E24" s="31" t="s">
        <v>112</v>
      </c>
      <c r="F24" s="11" t="str">
        <f>IFERROR(VLOOKUP(B24,'Categories List'!B$2:C$36,2,FALSE),"")</f>
        <v/>
      </c>
      <c r="G24" s="26" t="s">
        <v>119</v>
      </c>
      <c r="H24" s="26" t="s">
        <v>119</v>
      </c>
      <c r="I24" s="26" t="s">
        <v>119</v>
      </c>
      <c r="J24" s="82" t="s">
        <v>119</v>
      </c>
      <c r="K24" s="17" t="s">
        <v>119</v>
      </c>
      <c r="L24" s="11" t="s">
        <v>120</v>
      </c>
      <c r="M24" s="26" t="s">
        <v>119</v>
      </c>
      <c r="N24" s="11" t="s">
        <v>119</v>
      </c>
      <c r="O24" s="42"/>
      <c r="P24" s="11" t="str">
        <f t="shared" si="12"/>
        <v>Maybe</v>
      </c>
      <c r="Q24" s="42"/>
      <c r="R24" t="str">
        <f t="shared" si="13"/>
        <v>No</v>
      </c>
      <c r="S24" s="32"/>
      <c r="T24" s="11">
        <f t="shared" si="6"/>
        <v>0</v>
      </c>
      <c r="U24" s="11">
        <f t="shared" si="2"/>
        <v>0.5</v>
      </c>
      <c r="V24" s="11">
        <f t="shared" si="3"/>
        <v>0</v>
      </c>
      <c r="W24" s="17">
        <f t="shared" si="4"/>
        <v>0</v>
      </c>
      <c r="X24" s="17">
        <f t="shared" si="7"/>
        <v>0.125</v>
      </c>
      <c r="Y24" s="17">
        <f t="shared" si="8"/>
        <v>0</v>
      </c>
    </row>
    <row r="25" spans="1:25" x14ac:dyDescent="0.35">
      <c r="A25" s="7">
        <v>3.4</v>
      </c>
      <c r="B25" s="53" t="s">
        <v>172</v>
      </c>
      <c r="C25" t="s">
        <v>173</v>
      </c>
      <c r="E25" s="31" t="s">
        <v>112</v>
      </c>
      <c r="F25" s="11" t="str">
        <f>IFERROR(VLOOKUP(B25,'Categories List'!B$2:C$36,2,FALSE),"")</f>
        <v/>
      </c>
      <c r="G25" s="26" t="s">
        <v>119</v>
      </c>
      <c r="H25" s="26" t="s">
        <v>119</v>
      </c>
      <c r="I25" s="26" t="s">
        <v>119</v>
      </c>
      <c r="J25" s="82" t="s">
        <v>119</v>
      </c>
      <c r="K25" s="17" t="s">
        <v>119</v>
      </c>
      <c r="L25" s="11" t="s">
        <v>120</v>
      </c>
      <c r="M25" s="26" t="s">
        <v>119</v>
      </c>
      <c r="N25" s="11" t="s">
        <v>119</v>
      </c>
      <c r="O25" s="42"/>
      <c r="P25" s="11" t="str">
        <f t="shared" si="12"/>
        <v>Maybe</v>
      </c>
      <c r="Q25" s="42"/>
      <c r="R25" t="str">
        <f t="shared" si="13"/>
        <v>No</v>
      </c>
      <c r="S25" s="32"/>
      <c r="T25" s="11">
        <f t="shared" si="6"/>
        <v>0</v>
      </c>
      <c r="U25" s="11">
        <f t="shared" si="2"/>
        <v>0.5</v>
      </c>
      <c r="V25" s="11">
        <f t="shared" si="3"/>
        <v>0</v>
      </c>
      <c r="W25" s="17">
        <f t="shared" si="4"/>
        <v>0</v>
      </c>
      <c r="X25" s="17">
        <f t="shared" si="7"/>
        <v>0.125</v>
      </c>
      <c r="Y25" s="17">
        <f t="shared" si="8"/>
        <v>0</v>
      </c>
    </row>
    <row r="26" spans="1:25" x14ac:dyDescent="0.35">
      <c r="A26" s="7">
        <v>3.5</v>
      </c>
      <c r="B26" s="53" t="s">
        <v>174</v>
      </c>
      <c r="C26" t="s">
        <v>175</v>
      </c>
      <c r="D26" t="s">
        <v>176</v>
      </c>
      <c r="E26" s="31" t="s">
        <v>112</v>
      </c>
      <c r="F26" s="11" t="str">
        <f>IFERROR(VLOOKUP(B26,'Categories List'!B$2:C$36,2,FALSE),"")</f>
        <v/>
      </c>
      <c r="G26" s="26" t="s">
        <v>119</v>
      </c>
      <c r="H26" s="26" t="s">
        <v>119</v>
      </c>
      <c r="I26" s="26" t="s">
        <v>119</v>
      </c>
      <c r="J26" s="82" t="s">
        <v>119</v>
      </c>
      <c r="K26" s="17" t="s">
        <v>119</v>
      </c>
      <c r="L26" s="11" t="s">
        <v>120</v>
      </c>
      <c r="M26" s="26" t="s">
        <v>119</v>
      </c>
      <c r="N26" s="11" t="s">
        <v>119</v>
      </c>
      <c r="O26" s="42"/>
      <c r="P26" s="11" t="str">
        <f t="shared" si="12"/>
        <v>Maybe</v>
      </c>
      <c r="Q26" s="42"/>
      <c r="R26" t="str">
        <f t="shared" si="13"/>
        <v>No</v>
      </c>
      <c r="S26" s="32"/>
      <c r="T26" s="11">
        <f t="shared" si="6"/>
        <v>0</v>
      </c>
      <c r="U26" s="11">
        <f t="shared" si="2"/>
        <v>0.5</v>
      </c>
      <c r="V26" s="11">
        <f t="shared" si="3"/>
        <v>0</v>
      </c>
      <c r="W26" s="17">
        <f t="shared" si="4"/>
        <v>0</v>
      </c>
      <c r="X26" s="17">
        <f t="shared" si="7"/>
        <v>0.125</v>
      </c>
      <c r="Y26" s="17">
        <f t="shared" si="8"/>
        <v>0</v>
      </c>
    </row>
    <row r="27" spans="1:25" x14ac:dyDescent="0.35">
      <c r="A27" s="7">
        <v>3.6</v>
      </c>
      <c r="B27" s="53" t="s">
        <v>177</v>
      </c>
      <c r="C27" t="s">
        <v>178</v>
      </c>
      <c r="D27" t="s">
        <v>179</v>
      </c>
      <c r="E27" s="31" t="s">
        <v>112</v>
      </c>
      <c r="F27" s="11" t="str">
        <f>IFERROR(VLOOKUP(B27,'Categories List'!B$2:C$36,2,FALSE),"")</f>
        <v/>
      </c>
      <c r="G27" s="26" t="s">
        <v>119</v>
      </c>
      <c r="H27" s="26" t="s">
        <v>119</v>
      </c>
      <c r="I27" s="26" t="s">
        <v>119</v>
      </c>
      <c r="J27" s="82" t="s">
        <v>119</v>
      </c>
      <c r="K27" s="17" t="s">
        <v>119</v>
      </c>
      <c r="L27" s="11" t="s">
        <v>120</v>
      </c>
      <c r="M27" s="26" t="s">
        <v>119</v>
      </c>
      <c r="N27" s="11" t="s">
        <v>119</v>
      </c>
      <c r="O27" s="42"/>
      <c r="P27" s="11" t="str">
        <f t="shared" si="12"/>
        <v>Maybe</v>
      </c>
      <c r="Q27" s="42"/>
      <c r="R27" t="str">
        <f t="shared" si="13"/>
        <v>No</v>
      </c>
      <c r="S27" s="32"/>
      <c r="T27" s="11">
        <f t="shared" si="6"/>
        <v>0</v>
      </c>
      <c r="U27" s="11">
        <f t="shared" si="2"/>
        <v>0.5</v>
      </c>
      <c r="V27" s="11">
        <f t="shared" si="3"/>
        <v>0</v>
      </c>
      <c r="W27" s="17">
        <f t="shared" si="4"/>
        <v>0</v>
      </c>
      <c r="X27" s="17">
        <f t="shared" si="7"/>
        <v>0.125</v>
      </c>
      <c r="Y27" s="17">
        <f t="shared" si="8"/>
        <v>0</v>
      </c>
    </row>
    <row r="28" spans="1:25" x14ac:dyDescent="0.35">
      <c r="A28" s="7">
        <v>3.7</v>
      </c>
      <c r="B28" s="53" t="s">
        <v>180</v>
      </c>
      <c r="C28" t="s">
        <v>181</v>
      </c>
      <c r="E28" s="31" t="s">
        <v>112</v>
      </c>
      <c r="F28" s="11" t="str">
        <f>IFERROR(VLOOKUP(B28,'Categories List'!B$2:C$36,2,FALSE),"")</f>
        <v/>
      </c>
      <c r="G28" s="27" t="s">
        <v>119</v>
      </c>
      <c r="H28" s="27" t="s">
        <v>119</v>
      </c>
      <c r="I28" s="27" t="s">
        <v>119</v>
      </c>
      <c r="J28" s="83" t="s">
        <v>119</v>
      </c>
      <c r="K28" s="20" t="s">
        <v>119</v>
      </c>
      <c r="L28" s="19" t="s">
        <v>120</v>
      </c>
      <c r="M28" s="27" t="s">
        <v>119</v>
      </c>
      <c r="N28" s="19" t="s">
        <v>119</v>
      </c>
      <c r="O28" s="42"/>
      <c r="P28" s="11" t="str">
        <f t="shared" si="12"/>
        <v>Maybe</v>
      </c>
      <c r="Q28" s="42"/>
      <c r="R28" t="str">
        <f t="shared" si="13"/>
        <v>No</v>
      </c>
      <c r="S28" s="32"/>
      <c r="T28" s="11">
        <f t="shared" si="6"/>
        <v>0</v>
      </c>
      <c r="U28" s="11">
        <f t="shared" si="2"/>
        <v>0.5</v>
      </c>
      <c r="V28" s="11">
        <f t="shared" si="3"/>
        <v>0</v>
      </c>
      <c r="W28" s="17">
        <f t="shared" si="4"/>
        <v>0</v>
      </c>
      <c r="X28" s="17">
        <f t="shared" si="7"/>
        <v>0.125</v>
      </c>
      <c r="Y28" s="17">
        <f t="shared" si="8"/>
        <v>0</v>
      </c>
    </row>
    <row r="29" spans="1:25" ht="16" x14ac:dyDescent="0.35">
      <c r="A29" s="62">
        <v>4</v>
      </c>
      <c r="B29" s="63" t="s">
        <v>57</v>
      </c>
      <c r="C29" s="56"/>
      <c r="D29" s="56"/>
      <c r="E29" s="65" t="s">
        <v>182</v>
      </c>
      <c r="F29" s="59" t="str">
        <f>IFERROR(VLOOKUP(B29,'Categories List'!B$2:C$36,2,FALSE),"")</f>
        <v>Priority 3</v>
      </c>
      <c r="G29" s="61"/>
      <c r="H29" s="61"/>
      <c r="I29" s="61"/>
      <c r="J29" s="84"/>
      <c r="K29" s="85"/>
      <c r="L29" s="86"/>
      <c r="M29" s="21"/>
      <c r="N29" s="87"/>
      <c r="O29" s="42"/>
      <c r="Q29" s="42"/>
      <c r="S29" s="32"/>
      <c r="T29" s="11">
        <f t="shared" si="6"/>
        <v>0</v>
      </c>
      <c r="U29" s="11">
        <f t="shared" si="2"/>
        <v>0</v>
      </c>
      <c r="V29" s="11">
        <f t="shared" si="3"/>
        <v>0</v>
      </c>
      <c r="W29" s="17">
        <f t="shared" si="4"/>
        <v>0</v>
      </c>
      <c r="X29" s="17">
        <f t="shared" si="7"/>
        <v>0</v>
      </c>
      <c r="Y29" s="17">
        <f t="shared" si="8"/>
        <v>0</v>
      </c>
    </row>
    <row r="30" spans="1:25" x14ac:dyDescent="0.35">
      <c r="A30" s="7">
        <v>4.0999999999999996</v>
      </c>
      <c r="B30" s="53" t="s">
        <v>183</v>
      </c>
      <c r="C30" t="s">
        <v>184</v>
      </c>
      <c r="E30" s="31" t="s">
        <v>182</v>
      </c>
      <c r="F30" s="11" t="str">
        <f>IFERROR(VLOOKUP(B30,'Categories List'!B$2:C$36,2,FALSE),"")</f>
        <v/>
      </c>
      <c r="G30" s="88" t="s">
        <v>119</v>
      </c>
      <c r="H30" s="88" t="s">
        <v>119</v>
      </c>
      <c r="I30" s="88" t="s">
        <v>119</v>
      </c>
      <c r="J30" s="89" t="s">
        <v>119</v>
      </c>
      <c r="K30" s="90" t="s">
        <v>119</v>
      </c>
      <c r="L30" s="91" t="s">
        <v>119</v>
      </c>
      <c r="M30" s="88" t="s">
        <v>118</v>
      </c>
      <c r="N30" s="91" t="s">
        <v>119</v>
      </c>
      <c r="O30" s="42"/>
      <c r="P30" s="11" t="str">
        <f>IF(COUNTIF(K30:N30,"Yes")&gt;0,"Yes",IF(COUNTIF(K30:N30,"Maybe")&gt;0,"Maybe","No"))</f>
        <v>Yes</v>
      </c>
      <c r="Q30" s="42"/>
      <c r="R30" t="str">
        <f>IF(COUNTIF(L30:O30,"Yes")&gt;0,"Yes",IF(COUNTIF(L30:O30,"Maybe")&gt;1,"Maybe","No"))</f>
        <v>Yes</v>
      </c>
      <c r="S30" s="32" t="str">
        <f>IF(OR(P30="Yes", P30="Maybe"),B30,0)</f>
        <v>Community Platforms</v>
      </c>
      <c r="T30" s="11">
        <f t="shared" si="6"/>
        <v>0</v>
      </c>
      <c r="U30" s="11">
        <f t="shared" si="2"/>
        <v>0</v>
      </c>
      <c r="V30" s="11">
        <f t="shared" si="3"/>
        <v>1</v>
      </c>
      <c r="W30" s="17">
        <f t="shared" si="4"/>
        <v>0</v>
      </c>
      <c r="X30" s="17">
        <f t="shared" si="7"/>
        <v>0.25</v>
      </c>
      <c r="Y30" s="17">
        <f t="shared" si="8"/>
        <v>0</v>
      </c>
    </row>
    <row r="31" spans="1:25" x14ac:dyDescent="0.35">
      <c r="A31" s="7">
        <v>4.2</v>
      </c>
      <c r="B31" s="53" t="s">
        <v>185</v>
      </c>
      <c r="C31" t="s">
        <v>186</v>
      </c>
      <c r="D31" t="s">
        <v>187</v>
      </c>
      <c r="E31" s="31" t="s">
        <v>182</v>
      </c>
      <c r="F31" s="11" t="str">
        <f>IFERROR(VLOOKUP(B31,'Categories List'!B$2:C$36,2,FALSE),"")</f>
        <v/>
      </c>
      <c r="G31" s="26" t="s">
        <v>119</v>
      </c>
      <c r="H31" s="26" t="s">
        <v>119</v>
      </c>
      <c r="I31" s="26" t="s">
        <v>119</v>
      </c>
      <c r="J31" s="82" t="s">
        <v>119</v>
      </c>
      <c r="K31" s="17" t="s">
        <v>119</v>
      </c>
      <c r="L31" s="11" t="s">
        <v>119</v>
      </c>
      <c r="M31" s="26" t="s">
        <v>118</v>
      </c>
      <c r="N31" s="11" t="s">
        <v>120</v>
      </c>
      <c r="O31" s="42"/>
      <c r="P31" s="11" t="str">
        <f>IF(COUNTIF(K31:N31,"Yes")&gt;0,"Yes",IF(COUNTIF(K31:N31,"Maybe")&gt;0,"Maybe","No"))</f>
        <v>Yes</v>
      </c>
      <c r="Q31" s="42"/>
      <c r="R31" t="str">
        <f>IF(COUNTIF(L31:O31,"Yes")&gt;0,"Yes",IF(COUNTIF(L31:O31,"Maybe")&gt;1,"Maybe","No"))</f>
        <v>Yes</v>
      </c>
      <c r="S31" s="32" t="str">
        <f>IF(OR(P31="Yes", P31="Maybe"),B31,0)</f>
        <v>Blockchain Technology (or DLT)</v>
      </c>
      <c r="T31" s="11">
        <f t="shared" si="6"/>
        <v>0</v>
      </c>
      <c r="U31" s="11">
        <f t="shared" si="2"/>
        <v>0</v>
      </c>
      <c r="V31" s="11">
        <f t="shared" si="3"/>
        <v>1</v>
      </c>
      <c r="W31" s="17">
        <f t="shared" si="4"/>
        <v>0.5</v>
      </c>
      <c r="X31" s="17">
        <f t="shared" si="7"/>
        <v>0.375</v>
      </c>
      <c r="Y31" s="17">
        <f t="shared" si="8"/>
        <v>0</v>
      </c>
    </row>
    <row r="32" spans="1:25" x14ac:dyDescent="0.35">
      <c r="A32" s="7">
        <v>4.3</v>
      </c>
      <c r="B32" s="53" t="s">
        <v>188</v>
      </c>
      <c r="C32" t="s">
        <v>189</v>
      </c>
      <c r="D32" t="s">
        <v>190</v>
      </c>
      <c r="E32" s="31" t="s">
        <v>182</v>
      </c>
      <c r="F32" s="11" t="str">
        <f>IFERROR(VLOOKUP(B32,'Categories List'!B$2:C$36,2,FALSE),"")</f>
        <v/>
      </c>
      <c r="G32" s="27" t="s">
        <v>119</v>
      </c>
      <c r="H32" s="27" t="s">
        <v>119</v>
      </c>
      <c r="I32" s="27" t="s">
        <v>119</v>
      </c>
      <c r="J32" s="83" t="s">
        <v>119</v>
      </c>
      <c r="K32" s="20" t="s">
        <v>119</v>
      </c>
      <c r="L32" s="19" t="s">
        <v>119</v>
      </c>
      <c r="M32" s="27" t="s">
        <v>118</v>
      </c>
      <c r="N32" s="19" t="s">
        <v>118</v>
      </c>
      <c r="O32" s="42"/>
      <c r="P32" s="11" t="str">
        <f>IF(COUNTIF(K32:N32,"Yes")&gt;0,"Yes",IF(COUNTIF(K32:N32,"Maybe")&gt;0,"Maybe","No"))</f>
        <v>Yes</v>
      </c>
      <c r="Q32" s="42"/>
      <c r="R32" t="str">
        <f>IF(COUNTIF(L32:O32,"Yes")&gt;0,"Yes",IF(COUNTIF(L32:O32,"Maybe")&gt;1,"Maybe","No"))</f>
        <v>Yes</v>
      </c>
      <c r="S32" s="32" t="str">
        <f>IF(OR(P32="Yes", P32="Maybe"),B32,0)</f>
        <v>Mobile Apps</v>
      </c>
      <c r="T32" s="11">
        <f t="shared" si="6"/>
        <v>0</v>
      </c>
      <c r="U32" s="11">
        <f t="shared" si="2"/>
        <v>0</v>
      </c>
      <c r="V32" s="11">
        <f t="shared" si="3"/>
        <v>1</v>
      </c>
      <c r="W32" s="17">
        <f t="shared" si="4"/>
        <v>1</v>
      </c>
      <c r="X32" s="17">
        <f t="shared" si="7"/>
        <v>0.5</v>
      </c>
      <c r="Y32" s="17">
        <f t="shared" si="8"/>
        <v>1</v>
      </c>
    </row>
    <row r="33" spans="1:25" ht="16" x14ac:dyDescent="0.35">
      <c r="A33" s="62">
        <v>5</v>
      </c>
      <c r="B33" s="63" t="s">
        <v>58</v>
      </c>
      <c r="C33" s="56"/>
      <c r="D33" s="56"/>
      <c r="E33" s="65" t="s">
        <v>191</v>
      </c>
      <c r="F33" s="357" t="str">
        <f>IFERROR(VLOOKUP(B33,'Categories List'!B$2:C$36,2,FALSE),"")</f>
        <v>Priority 3</v>
      </c>
      <c r="G33" s="26"/>
      <c r="H33" s="26"/>
      <c r="I33" s="26"/>
      <c r="J33" s="82"/>
      <c r="K33" s="15"/>
      <c r="L33" s="2"/>
      <c r="M33" s="92"/>
      <c r="N33" s="11"/>
      <c r="O33" s="42"/>
      <c r="Q33" s="42"/>
      <c r="S33" s="32"/>
      <c r="T33" s="11">
        <f t="shared" si="6"/>
        <v>0</v>
      </c>
      <c r="U33" s="11">
        <f t="shared" si="2"/>
        <v>0</v>
      </c>
      <c r="V33" s="11">
        <f t="shared" si="3"/>
        <v>0</v>
      </c>
      <c r="W33" s="17">
        <f t="shared" si="4"/>
        <v>0</v>
      </c>
      <c r="X33" s="17">
        <f t="shared" si="7"/>
        <v>0</v>
      </c>
      <c r="Y33" s="17">
        <f t="shared" si="8"/>
        <v>0</v>
      </c>
    </row>
    <row r="34" spans="1:25" x14ac:dyDescent="0.35">
      <c r="A34" s="7">
        <v>5.0999999999999996</v>
      </c>
      <c r="B34" s="53" t="s">
        <v>192</v>
      </c>
      <c r="C34" t="s">
        <v>193</v>
      </c>
      <c r="E34" s="31" t="s">
        <v>191</v>
      </c>
      <c r="F34" s="11" t="str">
        <f>IFERROR(VLOOKUP(B34,'Categories List'!B$2:C$36,2,FALSE),"")</f>
        <v/>
      </c>
      <c r="G34" s="88" t="s">
        <v>119</v>
      </c>
      <c r="H34" s="88" t="s">
        <v>119</v>
      </c>
      <c r="I34" s="88" t="s">
        <v>119</v>
      </c>
      <c r="J34" s="89" t="s">
        <v>118</v>
      </c>
      <c r="K34" s="90" t="s">
        <v>119</v>
      </c>
      <c r="L34" s="91" t="s">
        <v>119</v>
      </c>
      <c r="M34" s="88" t="s">
        <v>120</v>
      </c>
      <c r="N34" s="91" t="s">
        <v>119</v>
      </c>
      <c r="O34" s="42"/>
      <c r="P34" s="11" t="str">
        <f t="shared" ref="P34:P40" si="14">IF(COUNTIF(K34:N34,"Yes")&gt;0,"Yes",IF(COUNTIF(K34:N34,"Maybe")&gt;0,"Maybe","No"))</f>
        <v>Maybe</v>
      </c>
      <c r="Q34" s="42"/>
      <c r="R34" t="str">
        <f t="shared" ref="R34:R40" si="15">IF(COUNTIF(L34:O34,"Yes")&gt;0,"Yes",IF(COUNTIF(L34:O34,"Maybe")&gt;1,"Maybe","No"))</f>
        <v>No</v>
      </c>
      <c r="S34" s="32" t="str">
        <f>IF(OR(P34="Yes", P34="Maybe"),B34,0)</f>
        <v>Crowdfunding Platforms</v>
      </c>
      <c r="T34" s="11">
        <f t="shared" si="6"/>
        <v>0</v>
      </c>
      <c r="U34" s="11">
        <f t="shared" si="2"/>
        <v>0</v>
      </c>
      <c r="V34" s="11">
        <f t="shared" si="3"/>
        <v>0.5</v>
      </c>
      <c r="W34" s="17">
        <f t="shared" si="4"/>
        <v>0</v>
      </c>
      <c r="X34" s="17">
        <f t="shared" si="7"/>
        <v>0.125</v>
      </c>
      <c r="Y34" s="17">
        <f t="shared" si="8"/>
        <v>0</v>
      </c>
    </row>
    <row r="35" spans="1:25" x14ac:dyDescent="0.35">
      <c r="A35" s="7">
        <v>5.2</v>
      </c>
      <c r="B35" s="53" t="s">
        <v>194</v>
      </c>
      <c r="C35" t="s">
        <v>195</v>
      </c>
      <c r="E35" s="31" t="s">
        <v>191</v>
      </c>
      <c r="F35" s="11" t="str">
        <f>IFERROR(VLOOKUP(B35,'Categories List'!B$2:C$36,2,FALSE),"")</f>
        <v/>
      </c>
      <c r="G35" s="26" t="s">
        <v>119</v>
      </c>
      <c r="H35" s="26" t="s">
        <v>119</v>
      </c>
      <c r="I35" s="26" t="s">
        <v>119</v>
      </c>
      <c r="J35" s="82" t="s">
        <v>118</v>
      </c>
      <c r="K35" s="17" t="s">
        <v>119</v>
      </c>
      <c r="L35" s="11" t="s">
        <v>119</v>
      </c>
      <c r="M35" s="26" t="s">
        <v>118</v>
      </c>
      <c r="N35" s="11" t="s">
        <v>119</v>
      </c>
      <c r="O35" s="42"/>
      <c r="P35" s="11" t="str">
        <f t="shared" si="14"/>
        <v>Yes</v>
      </c>
      <c r="Q35" s="42"/>
      <c r="R35" t="str">
        <f t="shared" si="15"/>
        <v>Yes</v>
      </c>
      <c r="S35" s="32" t="str">
        <f>IF(OR(P35="Yes", P35="Maybe"),B35,0)</f>
        <v>Energy Cooperatives</v>
      </c>
      <c r="T35" s="11">
        <f t="shared" si="6"/>
        <v>0</v>
      </c>
      <c r="U35" s="11">
        <f t="shared" si="2"/>
        <v>0</v>
      </c>
      <c r="V35" s="11">
        <f t="shared" si="3"/>
        <v>1</v>
      </c>
      <c r="W35" s="17">
        <f t="shared" si="4"/>
        <v>0</v>
      </c>
      <c r="X35" s="17">
        <f t="shared" si="7"/>
        <v>0.25</v>
      </c>
      <c r="Y35" s="17">
        <f t="shared" si="8"/>
        <v>0</v>
      </c>
    </row>
    <row r="36" spans="1:25" x14ac:dyDescent="0.35">
      <c r="A36" s="7">
        <v>5.3</v>
      </c>
      <c r="B36" s="53" t="s">
        <v>196</v>
      </c>
      <c r="C36" t="s">
        <v>197</v>
      </c>
      <c r="E36" s="31" t="s">
        <v>191</v>
      </c>
      <c r="F36" s="11" t="str">
        <f>IFERROR(VLOOKUP(B36,'Categories List'!B$2:C$36,2,FALSE),"")</f>
        <v/>
      </c>
      <c r="G36" s="26" t="s">
        <v>119</v>
      </c>
      <c r="H36" s="26" t="s">
        <v>119</v>
      </c>
      <c r="I36" s="26" t="s">
        <v>119</v>
      </c>
      <c r="J36" s="82" t="s">
        <v>118</v>
      </c>
      <c r="K36" s="17" t="s">
        <v>119</v>
      </c>
      <c r="L36" s="11" t="s">
        <v>119</v>
      </c>
      <c r="M36" s="26" t="s">
        <v>120</v>
      </c>
      <c r="N36" s="11" t="s">
        <v>119</v>
      </c>
      <c r="O36" s="42"/>
      <c r="P36" s="11" t="str">
        <f t="shared" si="14"/>
        <v>Maybe</v>
      </c>
      <c r="Q36" s="42"/>
      <c r="R36" t="str">
        <f t="shared" si="15"/>
        <v>No</v>
      </c>
      <c r="S36" s="32" t="str">
        <f>IF(OR(P36="Yes", P36="Maybe"),B36,0)</f>
        <v>Government Grants and Incentives</v>
      </c>
      <c r="T36" s="11">
        <f t="shared" si="6"/>
        <v>0</v>
      </c>
      <c r="U36" s="11">
        <f t="shared" si="2"/>
        <v>0</v>
      </c>
      <c r="V36" s="11">
        <f t="shared" si="3"/>
        <v>0.5</v>
      </c>
      <c r="W36" s="17">
        <f t="shared" si="4"/>
        <v>0</v>
      </c>
      <c r="X36" s="17">
        <f t="shared" si="7"/>
        <v>0.125</v>
      </c>
      <c r="Y36" s="17">
        <f t="shared" si="8"/>
        <v>0</v>
      </c>
    </row>
    <row r="37" spans="1:25" x14ac:dyDescent="0.35">
      <c r="A37" s="7">
        <v>5.4</v>
      </c>
      <c r="B37" s="53" t="s">
        <v>198</v>
      </c>
      <c r="C37" t="s">
        <v>199</v>
      </c>
      <c r="E37" s="31" t="s">
        <v>191</v>
      </c>
      <c r="F37" s="11" t="str">
        <f>IFERROR(VLOOKUP(B37,'Categories List'!B$2:C$36,2,FALSE),"")</f>
        <v/>
      </c>
      <c r="G37" s="26" t="s">
        <v>119</v>
      </c>
      <c r="H37" s="26" t="s">
        <v>119</v>
      </c>
      <c r="I37" s="26" t="s">
        <v>119</v>
      </c>
      <c r="J37" s="82" t="s">
        <v>118</v>
      </c>
      <c r="K37" s="17" t="s">
        <v>119</v>
      </c>
      <c r="L37" s="11" t="s">
        <v>119</v>
      </c>
      <c r="M37" s="26" t="s">
        <v>119</v>
      </c>
      <c r="N37" s="11" t="s">
        <v>119</v>
      </c>
      <c r="O37" s="42"/>
      <c r="P37" s="11" t="str">
        <f t="shared" si="14"/>
        <v>No</v>
      </c>
      <c r="Q37" s="42"/>
      <c r="R37" t="str">
        <f t="shared" si="15"/>
        <v>No</v>
      </c>
      <c r="S37" s="32"/>
      <c r="T37" s="11">
        <f t="shared" ref="T37:T68" si="16">IF(K37="Yes",1,IF(K37="Maybe",0.5,0))</f>
        <v>0</v>
      </c>
      <c r="U37" s="11">
        <f t="shared" ref="U37:U68" si="17">IF(L37="Yes",1,IF(L37="Maybe",0.5,0))</f>
        <v>0</v>
      </c>
      <c r="V37" s="11">
        <f t="shared" ref="V37:V68" si="18">IF(M37="Yes",1,IF(M37="Maybe",0.5,0))</f>
        <v>0</v>
      </c>
      <c r="W37" s="17">
        <f t="shared" ref="W37:W68" si="19">IF(N37="Yes",1,IF(N37="Maybe",0.5,0))</f>
        <v>0</v>
      </c>
      <c r="X37" s="17">
        <f t="shared" si="7"/>
        <v>0</v>
      </c>
      <c r="Y37" s="17">
        <f t="shared" si="8"/>
        <v>0</v>
      </c>
    </row>
    <row r="38" spans="1:25" x14ac:dyDescent="0.35">
      <c r="A38" s="7">
        <v>5.5</v>
      </c>
      <c r="B38" s="53" t="s">
        <v>200</v>
      </c>
      <c r="C38" t="s">
        <v>201</v>
      </c>
      <c r="E38" s="31" t="s">
        <v>191</v>
      </c>
      <c r="F38" s="11" t="str">
        <f>IFERROR(VLOOKUP(B38,'Categories List'!B$2:C$36,2,FALSE),"")</f>
        <v/>
      </c>
      <c r="G38" s="26" t="s">
        <v>119</v>
      </c>
      <c r="H38" s="26" t="s">
        <v>119</v>
      </c>
      <c r="I38" s="26" t="s">
        <v>119</v>
      </c>
      <c r="J38" s="82" t="s">
        <v>119</v>
      </c>
      <c r="K38" s="17" t="s">
        <v>119</v>
      </c>
      <c r="L38" s="11" t="s">
        <v>119</v>
      </c>
      <c r="M38" s="26" t="s">
        <v>119</v>
      </c>
      <c r="N38" s="11" t="s">
        <v>119</v>
      </c>
      <c r="O38" s="42"/>
      <c r="P38" s="11" t="str">
        <f t="shared" si="14"/>
        <v>No</v>
      </c>
      <c r="Q38" s="42"/>
      <c r="R38" t="str">
        <f t="shared" si="15"/>
        <v>No</v>
      </c>
      <c r="S38" s="32"/>
      <c r="T38" s="11">
        <f t="shared" si="16"/>
        <v>0</v>
      </c>
      <c r="U38" s="11">
        <f t="shared" si="17"/>
        <v>0</v>
      </c>
      <c r="V38" s="11">
        <f t="shared" si="18"/>
        <v>0</v>
      </c>
      <c r="W38" s="17">
        <f t="shared" si="19"/>
        <v>0</v>
      </c>
      <c r="X38" s="17">
        <f t="shared" si="7"/>
        <v>0</v>
      </c>
      <c r="Y38" s="17">
        <f t="shared" si="8"/>
        <v>0</v>
      </c>
    </row>
    <row r="39" spans="1:25" x14ac:dyDescent="0.35">
      <c r="A39" s="7">
        <v>5.6</v>
      </c>
      <c r="B39" s="53" t="s">
        <v>202</v>
      </c>
      <c r="C39" t="s">
        <v>203</v>
      </c>
      <c r="E39" s="31" t="s">
        <v>191</v>
      </c>
      <c r="F39" s="11" t="str">
        <f>IFERROR(VLOOKUP(B39,'Categories List'!B$2:C$36,2,FALSE),"")</f>
        <v/>
      </c>
      <c r="G39" s="26" t="s">
        <v>119</v>
      </c>
      <c r="H39" s="26" t="s">
        <v>119</v>
      </c>
      <c r="I39" s="26" t="s">
        <v>119</v>
      </c>
      <c r="J39" s="82" t="s">
        <v>119</v>
      </c>
      <c r="K39" s="17" t="s">
        <v>119</v>
      </c>
      <c r="L39" s="11" t="s">
        <v>119</v>
      </c>
      <c r="M39" s="26" t="s">
        <v>120</v>
      </c>
      <c r="N39" s="11" t="s">
        <v>119</v>
      </c>
      <c r="O39" s="42"/>
      <c r="P39" s="11" t="str">
        <f t="shared" si="14"/>
        <v>Maybe</v>
      </c>
      <c r="Q39" s="42"/>
      <c r="R39" t="str">
        <f t="shared" si="15"/>
        <v>No</v>
      </c>
      <c r="S39" s="32" t="str">
        <f>IF(OR(P39="Yes", P39="Maybe"),B39,0)</f>
        <v>Energy Performance Contracts (EPCs)</v>
      </c>
      <c r="T39" s="11">
        <f t="shared" si="16"/>
        <v>0</v>
      </c>
      <c r="U39" s="11">
        <f t="shared" si="17"/>
        <v>0</v>
      </c>
      <c r="V39" s="11">
        <f t="shared" si="18"/>
        <v>0.5</v>
      </c>
      <c r="W39" s="17">
        <f t="shared" si="19"/>
        <v>0</v>
      </c>
      <c r="X39" s="17">
        <f t="shared" si="7"/>
        <v>0.125</v>
      </c>
      <c r="Y39" s="17">
        <f t="shared" si="8"/>
        <v>0</v>
      </c>
    </row>
    <row r="40" spans="1:25" x14ac:dyDescent="0.35">
      <c r="A40" s="7">
        <v>5.7</v>
      </c>
      <c r="B40" s="53" t="s">
        <v>204</v>
      </c>
      <c r="C40" t="s">
        <v>205</v>
      </c>
      <c r="E40" s="31" t="s">
        <v>191</v>
      </c>
      <c r="F40" s="11" t="str">
        <f>IFERROR(VLOOKUP(B40,'Categories List'!B$2:C$36,2,FALSE),"")</f>
        <v/>
      </c>
      <c r="G40" s="27" t="s">
        <v>119</v>
      </c>
      <c r="H40" s="27" t="s">
        <v>119</v>
      </c>
      <c r="I40" s="27" t="s">
        <v>119</v>
      </c>
      <c r="J40" s="83" t="s">
        <v>118</v>
      </c>
      <c r="K40" s="20" t="s">
        <v>119</v>
      </c>
      <c r="L40" s="19" t="s">
        <v>119</v>
      </c>
      <c r="M40" s="27" t="s">
        <v>120</v>
      </c>
      <c r="N40" s="19" t="s">
        <v>119</v>
      </c>
      <c r="O40" s="42"/>
      <c r="P40" s="11" t="str">
        <f t="shared" si="14"/>
        <v>Maybe</v>
      </c>
      <c r="Q40" s="42"/>
      <c r="R40" t="str">
        <f t="shared" si="15"/>
        <v>No</v>
      </c>
      <c r="S40" s="32" t="str">
        <f>IF(OR(P40="Yes", P40="Maybe"),B40,0)</f>
        <v>Community Shares</v>
      </c>
      <c r="T40" s="11">
        <f t="shared" si="16"/>
        <v>0</v>
      </c>
      <c r="U40" s="11">
        <f t="shared" si="17"/>
        <v>0</v>
      </c>
      <c r="V40" s="11">
        <f t="shared" si="18"/>
        <v>0.5</v>
      </c>
      <c r="W40" s="17">
        <f t="shared" si="19"/>
        <v>0</v>
      </c>
      <c r="X40" s="17">
        <f t="shared" si="7"/>
        <v>0.125</v>
      </c>
      <c r="Y40" s="17">
        <f t="shared" si="8"/>
        <v>0</v>
      </c>
    </row>
    <row r="41" spans="1:25" ht="16" x14ac:dyDescent="0.35">
      <c r="A41" s="62">
        <v>6</v>
      </c>
      <c r="B41" s="63" t="s">
        <v>60</v>
      </c>
      <c r="C41" s="56"/>
      <c r="D41" s="56"/>
      <c r="E41" s="65" t="s">
        <v>206</v>
      </c>
      <c r="F41" s="357" t="str">
        <f>IFERROR(VLOOKUP(B41,'Categories List'!B$2:C$36,2,FALSE),"")</f>
        <v>Priority 3</v>
      </c>
      <c r="G41" s="26"/>
      <c r="H41" s="26"/>
      <c r="I41" s="26"/>
      <c r="J41" s="82"/>
      <c r="K41" s="17"/>
      <c r="L41" s="11"/>
      <c r="M41" s="26"/>
      <c r="N41" s="11"/>
      <c r="O41" s="42"/>
      <c r="Q41" s="42"/>
      <c r="S41" s="32"/>
      <c r="T41" s="11">
        <f t="shared" si="16"/>
        <v>0</v>
      </c>
      <c r="U41" s="11">
        <f t="shared" si="17"/>
        <v>0</v>
      </c>
      <c r="V41" s="11">
        <f t="shared" si="18"/>
        <v>0</v>
      </c>
      <c r="W41" s="17">
        <f t="shared" si="19"/>
        <v>0</v>
      </c>
      <c r="X41" s="17">
        <f t="shared" si="7"/>
        <v>0</v>
      </c>
      <c r="Y41" s="17">
        <f t="shared" si="8"/>
        <v>0</v>
      </c>
    </row>
    <row r="42" spans="1:25" x14ac:dyDescent="0.35">
      <c r="A42" s="7">
        <v>6.1</v>
      </c>
      <c r="B42" s="53" t="s">
        <v>207</v>
      </c>
      <c r="C42" t="s">
        <v>208</v>
      </c>
      <c r="E42" s="31" t="s">
        <v>206</v>
      </c>
      <c r="F42" s="11" t="str">
        <f>IFERROR(VLOOKUP(B42,'Categories List'!B$2:C$36,2,FALSE),"")</f>
        <v/>
      </c>
      <c r="G42" s="88" t="s">
        <v>119</v>
      </c>
      <c r="H42" s="88" t="s">
        <v>119</v>
      </c>
      <c r="I42" s="88" t="s">
        <v>119</v>
      </c>
      <c r="J42" s="89" t="s">
        <v>118</v>
      </c>
      <c r="K42" s="90" t="s">
        <v>119</v>
      </c>
      <c r="L42" s="91" t="s">
        <v>118</v>
      </c>
      <c r="M42" s="88" t="s">
        <v>119</v>
      </c>
      <c r="N42" s="91" t="s">
        <v>120</v>
      </c>
      <c r="O42" s="42"/>
      <c r="P42" s="11" t="str">
        <f>IF(COUNTIF(K42:N42,"Yes")&gt;0,"Yes",IF(COUNTIF(K42:N42,"Maybe")&gt;0,"Maybe","No"))</f>
        <v>Yes</v>
      </c>
      <c r="Q42" s="42"/>
      <c r="R42" t="str">
        <f t="shared" ref="R42:R52" si="20">IF(COUNTIF(L42:O42,"Yes")&gt;0,"Yes",IF(COUNTIF(L42:O42,"Maybe")&gt;1,"Maybe","No"))</f>
        <v>Yes</v>
      </c>
      <c r="S42" s="32" t="str">
        <f>IF(OR(P42="Yes", P42="Maybe"),B42,0)</f>
        <v>Workshops and Training Programs</v>
      </c>
      <c r="T42" s="11">
        <f t="shared" si="16"/>
        <v>0</v>
      </c>
      <c r="U42" s="11">
        <f t="shared" si="17"/>
        <v>1</v>
      </c>
      <c r="V42" s="11">
        <f t="shared" si="18"/>
        <v>0</v>
      </c>
      <c r="W42" s="17">
        <f t="shared" si="19"/>
        <v>0.5</v>
      </c>
      <c r="X42" s="17">
        <f t="shared" si="7"/>
        <v>0.375</v>
      </c>
      <c r="Y42" s="17">
        <f t="shared" si="8"/>
        <v>0</v>
      </c>
    </row>
    <row r="43" spans="1:25" x14ac:dyDescent="0.35">
      <c r="A43" s="7">
        <v>6.3</v>
      </c>
      <c r="B43" s="53" t="s">
        <v>209</v>
      </c>
      <c r="C43" t="s">
        <v>210</v>
      </c>
      <c r="E43" s="31" t="s">
        <v>206</v>
      </c>
      <c r="F43" s="11" t="str">
        <f>IFERROR(VLOOKUP(B43,'Categories List'!B$2:C$36,2,FALSE),"")</f>
        <v/>
      </c>
      <c r="G43" s="26" t="s">
        <v>119</v>
      </c>
      <c r="H43" s="26" t="s">
        <v>119</v>
      </c>
      <c r="I43" s="26" t="s">
        <v>119</v>
      </c>
      <c r="J43" s="82" t="s">
        <v>118</v>
      </c>
      <c r="K43" s="17" t="s">
        <v>119</v>
      </c>
      <c r="L43" s="11" t="s">
        <v>120</v>
      </c>
      <c r="M43" s="26" t="s">
        <v>119</v>
      </c>
      <c r="N43" s="11" t="s">
        <v>120</v>
      </c>
      <c r="O43" s="42"/>
      <c r="P43" s="11" t="str">
        <f>IF(COUNTIF(K43:N43,"Yes")&gt;0,"Yes",IF(COUNTIF(K43:N43,"Maybe")&gt;0,"Maybe","No"))</f>
        <v>Maybe</v>
      </c>
      <c r="Q43" s="42"/>
      <c r="R43" t="str">
        <f t="shared" si="20"/>
        <v>Maybe</v>
      </c>
      <c r="S43" s="32" t="str">
        <f>IF(OR(P43="Yes", P43="Maybe"),B43,0)</f>
        <v>Public Awareness Campaigns</v>
      </c>
      <c r="T43" s="11">
        <f t="shared" si="16"/>
        <v>0</v>
      </c>
      <c r="U43" s="11">
        <f t="shared" si="17"/>
        <v>0.5</v>
      </c>
      <c r="V43" s="11">
        <f t="shared" si="18"/>
        <v>0</v>
      </c>
      <c r="W43" s="17">
        <f t="shared" si="19"/>
        <v>0.5</v>
      </c>
      <c r="X43" s="17">
        <f t="shared" si="7"/>
        <v>0.25</v>
      </c>
      <c r="Y43" s="17">
        <f t="shared" si="8"/>
        <v>0</v>
      </c>
    </row>
    <row r="44" spans="1:25" x14ac:dyDescent="0.35">
      <c r="A44" s="7">
        <v>6.4</v>
      </c>
      <c r="B44" s="53" t="s">
        <v>211</v>
      </c>
      <c r="C44" t="s">
        <v>212</v>
      </c>
      <c r="E44" s="31" t="s">
        <v>206</v>
      </c>
      <c r="F44" s="11" t="str">
        <f>IFERROR(VLOOKUP(B44,'Categories List'!B$2:C$36,2,FALSE),"")</f>
        <v/>
      </c>
      <c r="G44" s="26" t="s">
        <v>119</v>
      </c>
      <c r="H44" s="26" t="s">
        <v>119</v>
      </c>
      <c r="I44" s="26" t="s">
        <v>119</v>
      </c>
      <c r="J44" s="82" t="s">
        <v>118</v>
      </c>
      <c r="K44" s="17" t="s">
        <v>119</v>
      </c>
      <c r="L44" s="11" t="s">
        <v>119</v>
      </c>
      <c r="M44" s="26" t="s">
        <v>120</v>
      </c>
      <c r="N44" s="11" t="s">
        <v>120</v>
      </c>
      <c r="O44" s="42"/>
      <c r="P44" s="11" t="str">
        <f>IF(COUNTIF(K44:N44,"Yes")&gt;0,"Yes",IF(COUNTIF(K44:N44,"Maybe")&gt;0,"Maybe","No"))</f>
        <v>Maybe</v>
      </c>
      <c r="Q44" s="42"/>
      <c r="R44" t="str">
        <f t="shared" si="20"/>
        <v>Maybe</v>
      </c>
      <c r="S44" s="32" t="str">
        <f>IF(OR(P44="Yes", P44="Maybe"),B44,0)</f>
        <v>Online Courses and Webinars</v>
      </c>
      <c r="T44" s="11">
        <f t="shared" si="16"/>
        <v>0</v>
      </c>
      <c r="U44" s="11">
        <f t="shared" si="17"/>
        <v>0</v>
      </c>
      <c r="V44" s="11">
        <f t="shared" si="18"/>
        <v>0.5</v>
      </c>
      <c r="W44" s="17">
        <f t="shared" si="19"/>
        <v>0.5</v>
      </c>
      <c r="X44" s="17">
        <f t="shared" si="7"/>
        <v>0.25</v>
      </c>
      <c r="Y44" s="17">
        <f t="shared" si="8"/>
        <v>0</v>
      </c>
    </row>
    <row r="45" spans="1:25" x14ac:dyDescent="0.35">
      <c r="A45" s="7">
        <v>6.5</v>
      </c>
      <c r="B45" s="53" t="s">
        <v>213</v>
      </c>
      <c r="C45" t="s">
        <v>214</v>
      </c>
      <c r="D45" t="s">
        <v>215</v>
      </c>
      <c r="E45" s="31" t="s">
        <v>206</v>
      </c>
      <c r="F45" s="11" t="str">
        <f>IFERROR(VLOOKUP(B45,'Categories List'!B$2:C$36,2,FALSE),"")</f>
        <v/>
      </c>
      <c r="G45" s="26" t="s">
        <v>119</v>
      </c>
      <c r="H45" s="26" t="s">
        <v>119</v>
      </c>
      <c r="I45" s="26" t="s">
        <v>119</v>
      </c>
      <c r="J45" s="82" t="s">
        <v>119</v>
      </c>
      <c r="K45" s="17" t="s">
        <v>119</v>
      </c>
      <c r="L45" s="11" t="s">
        <v>119</v>
      </c>
      <c r="M45" s="26" t="s">
        <v>119</v>
      </c>
      <c r="N45" s="11" t="s">
        <v>119</v>
      </c>
      <c r="O45" s="42"/>
      <c r="P45" s="11" t="str">
        <f>IF(COUNTIF(K45:N45,"Yes")&gt;0,"Yes",IF(COUNTIF(K45:N45,"Maybe")&gt;0,"Maybe","No"))</f>
        <v>No</v>
      </c>
      <c r="Q45" s="42"/>
      <c r="R45" t="str">
        <f t="shared" si="20"/>
        <v>No</v>
      </c>
      <c r="S45" s="32"/>
      <c r="T45" s="11">
        <f t="shared" si="16"/>
        <v>0</v>
      </c>
      <c r="U45" s="11">
        <f t="shared" si="17"/>
        <v>0</v>
      </c>
      <c r="V45" s="11">
        <f t="shared" si="18"/>
        <v>0</v>
      </c>
      <c r="W45" s="17">
        <f t="shared" si="19"/>
        <v>0</v>
      </c>
      <c r="X45" s="17">
        <f t="shared" si="7"/>
        <v>0</v>
      </c>
      <c r="Y45" s="17">
        <f t="shared" si="8"/>
        <v>0</v>
      </c>
    </row>
    <row r="46" spans="1:25" x14ac:dyDescent="0.35">
      <c r="A46" s="7">
        <v>6.6</v>
      </c>
      <c r="B46" s="53" t="s">
        <v>216</v>
      </c>
      <c r="C46" t="s">
        <v>217</v>
      </c>
      <c r="D46" t="s">
        <v>218</v>
      </c>
      <c r="E46" s="31" t="s">
        <v>206</v>
      </c>
      <c r="F46" s="11" t="str">
        <f>IFERROR(VLOOKUP(B46,'Categories List'!B$2:C$36,2,FALSE),"")</f>
        <v/>
      </c>
      <c r="G46" s="27" t="s">
        <v>119</v>
      </c>
      <c r="H46" s="27" t="s">
        <v>119</v>
      </c>
      <c r="I46" s="27" t="s">
        <v>119</v>
      </c>
      <c r="J46" s="83" t="s">
        <v>119</v>
      </c>
      <c r="K46" s="20" t="s">
        <v>119</v>
      </c>
      <c r="L46" s="19" t="s">
        <v>120</v>
      </c>
      <c r="M46" s="27" t="s">
        <v>120</v>
      </c>
      <c r="N46" s="19" t="s">
        <v>120</v>
      </c>
      <c r="O46" s="42"/>
      <c r="P46" s="11" t="str">
        <f>IF(COUNTIF(K46:N46,"Yes")&gt;0,"Yes",IF(COUNTIF(K46:N46,"Maybe")&gt;0,"Maybe","No"))</f>
        <v>Maybe</v>
      </c>
      <c r="Q46" s="42"/>
      <c r="R46" t="str">
        <f t="shared" si="20"/>
        <v>Maybe</v>
      </c>
      <c r="S46" s="32" t="str">
        <f>IF(OR(P46="Yes", P46="Maybe"),B46,0)</f>
        <v>Gamification Platforms for Energy Savings</v>
      </c>
      <c r="T46" s="11">
        <f t="shared" si="16"/>
        <v>0</v>
      </c>
      <c r="U46" s="11">
        <f t="shared" si="17"/>
        <v>0.5</v>
      </c>
      <c r="V46" s="11">
        <f t="shared" si="18"/>
        <v>0.5</v>
      </c>
      <c r="W46" s="17">
        <f t="shared" si="19"/>
        <v>0.5</v>
      </c>
      <c r="X46" s="17">
        <f t="shared" si="7"/>
        <v>0.375</v>
      </c>
      <c r="Y46" s="17">
        <f t="shared" si="8"/>
        <v>0</v>
      </c>
    </row>
    <row r="47" spans="1:25" ht="16" x14ac:dyDescent="0.35">
      <c r="A47" s="62">
        <v>7</v>
      </c>
      <c r="B47" s="63" t="s">
        <v>63</v>
      </c>
      <c r="C47" s="56"/>
      <c r="D47" s="56"/>
      <c r="E47" s="65" t="s">
        <v>219</v>
      </c>
      <c r="F47" s="60" t="str">
        <f>IFERROR(VLOOKUP(B47,'Categories List'!B$2:C$36,2,FALSE),"")</f>
        <v>Priority 3</v>
      </c>
      <c r="G47" s="26"/>
      <c r="H47" s="26"/>
      <c r="I47" s="26"/>
      <c r="J47" s="82"/>
      <c r="K47" s="17"/>
      <c r="L47" s="11"/>
      <c r="M47" s="26"/>
      <c r="N47" s="11"/>
      <c r="O47" s="42"/>
      <c r="Q47" s="42"/>
      <c r="R47" t="str">
        <f t="shared" si="20"/>
        <v>No</v>
      </c>
      <c r="S47" s="32"/>
      <c r="T47" s="11">
        <f t="shared" si="16"/>
        <v>0</v>
      </c>
      <c r="U47" s="11">
        <f t="shared" si="17"/>
        <v>0</v>
      </c>
      <c r="V47" s="11">
        <f t="shared" si="18"/>
        <v>0</v>
      </c>
      <c r="W47" s="17">
        <f t="shared" si="19"/>
        <v>0</v>
      </c>
      <c r="X47" s="17">
        <f t="shared" si="7"/>
        <v>0</v>
      </c>
      <c r="Y47" s="17">
        <f t="shared" si="8"/>
        <v>0</v>
      </c>
    </row>
    <row r="48" spans="1:25" x14ac:dyDescent="0.35">
      <c r="A48" s="7">
        <v>7.1</v>
      </c>
      <c r="B48" s="53" t="s">
        <v>220</v>
      </c>
      <c r="C48" t="s">
        <v>221</v>
      </c>
      <c r="E48" s="31" t="s">
        <v>219</v>
      </c>
      <c r="F48" s="11" t="str">
        <f>IFERROR(VLOOKUP(B48,'Categories List'!B$2:C$36,2,FALSE),"")</f>
        <v/>
      </c>
      <c r="G48" s="88" t="s">
        <v>119</v>
      </c>
      <c r="H48" s="88" t="s">
        <v>119</v>
      </c>
      <c r="I48" s="88" t="s">
        <v>119</v>
      </c>
      <c r="J48" s="89" t="s">
        <v>119</v>
      </c>
      <c r="K48" s="90" t="s">
        <v>119</v>
      </c>
      <c r="L48" s="91" t="s">
        <v>119</v>
      </c>
      <c r="M48" s="88" t="s">
        <v>119</v>
      </c>
      <c r="N48" s="91" t="s">
        <v>119</v>
      </c>
      <c r="O48" s="42"/>
      <c r="P48" s="11" t="str">
        <f>IF(COUNTIF(K48:N48,"Yes")&gt;0,"Yes",IF(COUNTIF(K48:N48,"Maybe")&gt;0,"Maybe","No"))</f>
        <v>No</v>
      </c>
      <c r="Q48" s="42"/>
      <c r="R48" t="str">
        <f t="shared" si="20"/>
        <v>No</v>
      </c>
      <c r="S48" s="32"/>
      <c r="T48" s="11">
        <f t="shared" si="16"/>
        <v>0</v>
      </c>
      <c r="U48" s="11">
        <f t="shared" si="17"/>
        <v>0</v>
      </c>
      <c r="V48" s="11">
        <f t="shared" si="18"/>
        <v>0</v>
      </c>
      <c r="W48" s="17">
        <f t="shared" si="19"/>
        <v>0</v>
      </c>
      <c r="X48" s="17">
        <f t="shared" si="7"/>
        <v>0</v>
      </c>
      <c r="Y48" s="17">
        <f t="shared" si="8"/>
        <v>0</v>
      </c>
    </row>
    <row r="49" spans="1:25" x14ac:dyDescent="0.35">
      <c r="A49" s="7">
        <v>7.2</v>
      </c>
      <c r="B49" s="53" t="s">
        <v>222</v>
      </c>
      <c r="C49" t="s">
        <v>223</v>
      </c>
      <c r="D49" t="s">
        <v>224</v>
      </c>
      <c r="E49" s="31" t="s">
        <v>219</v>
      </c>
      <c r="F49" s="11" t="str">
        <f>IFERROR(VLOOKUP(B49,'Categories List'!B$2:C$36,2,FALSE),"")</f>
        <v/>
      </c>
      <c r="G49" s="26" t="s">
        <v>119</v>
      </c>
      <c r="H49" s="26" t="s">
        <v>119</v>
      </c>
      <c r="I49" s="26" t="s">
        <v>119</v>
      </c>
      <c r="J49" s="82" t="s">
        <v>119</v>
      </c>
      <c r="K49" s="17" t="s">
        <v>119</v>
      </c>
      <c r="L49" s="11" t="s">
        <v>119</v>
      </c>
      <c r="M49" s="26" t="s">
        <v>118</v>
      </c>
      <c r="N49" s="11" t="s">
        <v>119</v>
      </c>
      <c r="O49" s="42"/>
      <c r="P49" s="11" t="str">
        <f>IF(COUNTIF(K49:N49,"Yes")&gt;0,"Yes",IF(COUNTIF(K49:N49,"Maybe")&gt;0,"Maybe","No"))</f>
        <v>Yes</v>
      </c>
      <c r="Q49" s="42"/>
      <c r="R49" t="str">
        <f t="shared" si="20"/>
        <v>Yes</v>
      </c>
      <c r="S49" s="32" t="str">
        <f>IF(OR(P49="Yes", P49="Maybe"),B49,0)</f>
        <v>Carbon Footprint Calculators</v>
      </c>
      <c r="T49" s="11">
        <f t="shared" si="16"/>
        <v>0</v>
      </c>
      <c r="U49" s="11">
        <f t="shared" si="17"/>
        <v>0</v>
      </c>
      <c r="V49" s="11">
        <f t="shared" si="18"/>
        <v>1</v>
      </c>
      <c r="W49" s="17">
        <f t="shared" si="19"/>
        <v>0</v>
      </c>
      <c r="X49" s="17">
        <f t="shared" si="7"/>
        <v>0.25</v>
      </c>
      <c r="Y49" s="17">
        <f t="shared" si="8"/>
        <v>0</v>
      </c>
    </row>
    <row r="50" spans="1:25" x14ac:dyDescent="0.35">
      <c r="A50" s="7">
        <v>7.3</v>
      </c>
      <c r="B50" s="53" t="s">
        <v>225</v>
      </c>
      <c r="C50" t="s">
        <v>226</v>
      </c>
      <c r="D50" t="s">
        <v>227</v>
      </c>
      <c r="E50" s="31" t="s">
        <v>219</v>
      </c>
      <c r="F50" s="11" t="str">
        <f>IFERROR(VLOOKUP(B50,'Categories List'!B$2:C$36,2,FALSE),"")</f>
        <v/>
      </c>
      <c r="G50" s="26" t="s">
        <v>119</v>
      </c>
      <c r="H50" s="26" t="s">
        <v>119</v>
      </c>
      <c r="I50" s="26" t="s">
        <v>119</v>
      </c>
      <c r="J50" s="82" t="s">
        <v>119</v>
      </c>
      <c r="K50" s="17" t="s">
        <v>119</v>
      </c>
      <c r="L50" s="11" t="s">
        <v>119</v>
      </c>
      <c r="M50" s="26" t="s">
        <v>118</v>
      </c>
      <c r="N50" s="11" t="s">
        <v>118</v>
      </c>
      <c r="O50" s="42"/>
      <c r="P50" s="11" t="str">
        <f>IF(COUNTIF(K50:N50,"Yes")&gt;0,"Yes",IF(COUNTIF(K50:N50,"Maybe")&gt;0,"Maybe","No"))</f>
        <v>Yes</v>
      </c>
      <c r="Q50" s="42"/>
      <c r="R50" t="str">
        <f t="shared" si="20"/>
        <v>Yes</v>
      </c>
      <c r="S50" s="32" t="str">
        <f>IF(OR(P50="Yes", P50="Maybe"),B50,0)</f>
        <v>Weather Forecasting Tools</v>
      </c>
      <c r="T50" s="11">
        <f t="shared" si="16"/>
        <v>0</v>
      </c>
      <c r="U50" s="11">
        <f t="shared" si="17"/>
        <v>0</v>
      </c>
      <c r="V50" s="11">
        <f t="shared" si="18"/>
        <v>1</v>
      </c>
      <c r="W50" s="17">
        <f t="shared" si="19"/>
        <v>1</v>
      </c>
      <c r="X50" s="17">
        <f t="shared" si="7"/>
        <v>0.5</v>
      </c>
      <c r="Y50" s="17">
        <f t="shared" si="8"/>
        <v>1</v>
      </c>
    </row>
    <row r="51" spans="1:25" x14ac:dyDescent="0.35">
      <c r="A51" s="7">
        <v>7.4</v>
      </c>
      <c r="B51" s="53" t="s">
        <v>228</v>
      </c>
      <c r="C51" t="s">
        <v>229</v>
      </c>
      <c r="D51" t="s">
        <v>230</v>
      </c>
      <c r="E51" s="31" t="s">
        <v>219</v>
      </c>
      <c r="F51" s="11" t="str">
        <f>IFERROR(VLOOKUP(B51,'Categories List'!B$2:C$36,2,FALSE),"")</f>
        <v/>
      </c>
      <c r="G51" s="26" t="s">
        <v>119</v>
      </c>
      <c r="H51" s="26" t="s">
        <v>119</v>
      </c>
      <c r="I51" s="26" t="s">
        <v>119</v>
      </c>
      <c r="J51" s="82" t="s">
        <v>119</v>
      </c>
      <c r="K51" s="17" t="s">
        <v>119</v>
      </c>
      <c r="L51" s="11" t="s">
        <v>119</v>
      </c>
      <c r="M51" s="26" t="s">
        <v>118</v>
      </c>
      <c r="N51" s="11" t="s">
        <v>119</v>
      </c>
      <c r="O51" s="42"/>
      <c r="P51" s="11" t="str">
        <f>IF(COUNTIF(K51:N51,"Yes")&gt;0,"Yes",IF(COUNTIF(K51:N51,"Maybe")&gt;0,"Maybe","No"))</f>
        <v>Yes</v>
      </c>
      <c r="Q51" s="42"/>
      <c r="R51" t="str">
        <f t="shared" si="20"/>
        <v>Yes</v>
      </c>
      <c r="S51" s="32" t="str">
        <f>IF(OR(P51="Yes", P51="Maybe"),B51,0)</f>
        <v>Environmental Impact Assessment Tools</v>
      </c>
      <c r="T51" s="11">
        <f t="shared" si="16"/>
        <v>0</v>
      </c>
      <c r="U51" s="11">
        <f t="shared" si="17"/>
        <v>0</v>
      </c>
      <c r="V51" s="11">
        <f t="shared" si="18"/>
        <v>1</v>
      </c>
      <c r="W51" s="17">
        <f t="shared" si="19"/>
        <v>0</v>
      </c>
      <c r="X51" s="17">
        <f t="shared" si="7"/>
        <v>0.25</v>
      </c>
      <c r="Y51" s="17">
        <f t="shared" si="8"/>
        <v>0</v>
      </c>
    </row>
    <row r="52" spans="1:25" x14ac:dyDescent="0.35">
      <c r="A52" s="7">
        <v>7.5</v>
      </c>
      <c r="B52" s="53" t="s">
        <v>231</v>
      </c>
      <c r="C52" t="s">
        <v>232</v>
      </c>
      <c r="E52" s="31" t="s">
        <v>219</v>
      </c>
      <c r="F52" s="11" t="str">
        <f>IFERROR(VLOOKUP(B52,'Categories List'!B$2:C$36,2,FALSE),"")</f>
        <v/>
      </c>
      <c r="G52" s="27" t="s">
        <v>119</v>
      </c>
      <c r="H52" s="27" t="s">
        <v>119</v>
      </c>
      <c r="I52" s="27" t="s">
        <v>119</v>
      </c>
      <c r="J52" s="83" t="s">
        <v>119</v>
      </c>
      <c r="K52" s="20" t="s">
        <v>119</v>
      </c>
      <c r="L52" s="19" t="s">
        <v>119</v>
      </c>
      <c r="M52" s="27" t="s">
        <v>119</v>
      </c>
      <c r="N52" s="19"/>
      <c r="O52" s="42"/>
      <c r="P52" s="11" t="str">
        <f>IF(COUNTIF(K52:N52,"Yes")&gt;0,"Yes",IF(COUNTIF(K52:N52,"Maybe")&gt;0,"Maybe","No"))</f>
        <v>No</v>
      </c>
      <c r="Q52" s="42"/>
      <c r="R52" t="str">
        <f t="shared" si="20"/>
        <v>No</v>
      </c>
      <c r="S52" s="32"/>
      <c r="T52" s="11">
        <f t="shared" si="16"/>
        <v>0</v>
      </c>
      <c r="U52" s="11">
        <f t="shared" si="17"/>
        <v>0</v>
      </c>
      <c r="V52" s="11">
        <f t="shared" si="18"/>
        <v>0</v>
      </c>
      <c r="W52" s="17">
        <f t="shared" si="19"/>
        <v>0</v>
      </c>
      <c r="X52" s="17">
        <f t="shared" si="7"/>
        <v>0</v>
      </c>
      <c r="Y52" s="17">
        <f t="shared" si="8"/>
        <v>0</v>
      </c>
    </row>
    <row r="53" spans="1:25" ht="16" x14ac:dyDescent="0.35">
      <c r="A53" s="62">
        <v>8</v>
      </c>
      <c r="B53" s="63" t="s">
        <v>64</v>
      </c>
      <c r="C53" s="56"/>
      <c r="D53" s="56"/>
      <c r="E53" s="65" t="s">
        <v>233</v>
      </c>
      <c r="F53" s="357" t="str">
        <f>IFERROR(VLOOKUP(B53,'Categories List'!B$2:C$36,2,FALSE),"")</f>
        <v>Priority 3</v>
      </c>
      <c r="G53" s="26"/>
      <c r="H53" s="26"/>
      <c r="I53" s="26"/>
      <c r="J53" s="82"/>
      <c r="K53" s="17"/>
      <c r="L53" s="11"/>
      <c r="M53" s="26"/>
      <c r="N53" s="11"/>
      <c r="O53" s="42"/>
      <c r="Q53" s="42"/>
      <c r="S53" s="32"/>
      <c r="T53" s="11">
        <f t="shared" si="16"/>
        <v>0</v>
      </c>
      <c r="U53" s="11">
        <f t="shared" si="17"/>
        <v>0</v>
      </c>
      <c r="V53" s="11">
        <f t="shared" si="18"/>
        <v>0</v>
      </c>
      <c r="W53" s="17">
        <f t="shared" si="19"/>
        <v>0</v>
      </c>
      <c r="X53" s="17">
        <f t="shared" si="7"/>
        <v>0</v>
      </c>
      <c r="Y53" s="17">
        <f t="shared" si="8"/>
        <v>0</v>
      </c>
    </row>
    <row r="54" spans="1:25" x14ac:dyDescent="0.35">
      <c r="A54" s="7">
        <v>8.1</v>
      </c>
      <c r="B54" s="53" t="s">
        <v>234</v>
      </c>
      <c r="C54" t="s">
        <v>235</v>
      </c>
      <c r="D54" t="s">
        <v>236</v>
      </c>
      <c r="E54" s="31" t="s">
        <v>233</v>
      </c>
      <c r="F54" s="11" t="str">
        <f>IFERROR(VLOOKUP(B54,'Categories List'!B$2:C$36,2,FALSE),"")</f>
        <v/>
      </c>
      <c r="G54" s="88" t="s">
        <v>119</v>
      </c>
      <c r="H54" s="88" t="s">
        <v>119</v>
      </c>
      <c r="I54" s="88" t="s">
        <v>119</v>
      </c>
      <c r="J54" s="89" t="s">
        <v>119</v>
      </c>
      <c r="K54" s="90" t="s">
        <v>119</v>
      </c>
      <c r="L54" s="91" t="s">
        <v>120</v>
      </c>
      <c r="M54" s="88" t="s">
        <v>119</v>
      </c>
      <c r="N54" s="91" t="s">
        <v>119</v>
      </c>
      <c r="O54" s="42"/>
      <c r="P54" s="11" t="str">
        <f>IF(COUNTIF(K54:N54,"Yes")&gt;0,"Yes",IF(COUNTIF(K54:N54,"Maybe")&gt;0,"Maybe","No"))</f>
        <v>Maybe</v>
      </c>
      <c r="Q54" s="42"/>
      <c r="R54" t="str">
        <f>IF(COUNTIF(L54:O54,"Yes")&gt;0,"Yes",IF(COUNTIF(L54:O54,"Maybe")&gt;1,"Maybe","No"))</f>
        <v>No</v>
      </c>
      <c r="S54" s="32" t="str">
        <f>IF(OR(P54="Yes", P54="Maybe"),B54,0)</f>
        <v>Predictive Maintenance Software</v>
      </c>
      <c r="T54" s="11">
        <f t="shared" si="16"/>
        <v>0</v>
      </c>
      <c r="U54" s="11">
        <f t="shared" si="17"/>
        <v>0.5</v>
      </c>
      <c r="V54" s="11">
        <f t="shared" si="18"/>
        <v>0</v>
      </c>
      <c r="W54" s="17">
        <f t="shared" si="19"/>
        <v>0</v>
      </c>
      <c r="X54" s="17">
        <f t="shared" si="7"/>
        <v>0.125</v>
      </c>
      <c r="Y54" s="17">
        <f t="shared" si="8"/>
        <v>0</v>
      </c>
    </row>
    <row r="55" spans="1:25" x14ac:dyDescent="0.35">
      <c r="A55" s="7">
        <v>8.1999999999999993</v>
      </c>
      <c r="B55" s="53" t="s">
        <v>237</v>
      </c>
      <c r="C55" t="s">
        <v>238</v>
      </c>
      <c r="E55" s="31" t="s">
        <v>233</v>
      </c>
      <c r="F55" s="11" t="str">
        <f>IFERROR(VLOOKUP(B55,'Categories List'!B$2:C$36,2,FALSE),"")</f>
        <v/>
      </c>
      <c r="G55" s="26" t="s">
        <v>119</v>
      </c>
      <c r="H55" s="26" t="s">
        <v>119</v>
      </c>
      <c r="I55" s="26" t="s">
        <v>119</v>
      </c>
      <c r="J55" s="82" t="s">
        <v>119</v>
      </c>
      <c r="K55" s="17" t="s">
        <v>119</v>
      </c>
      <c r="L55" s="11" t="s">
        <v>120</v>
      </c>
      <c r="M55" s="26" t="s">
        <v>120</v>
      </c>
      <c r="N55" s="11" t="s">
        <v>119</v>
      </c>
      <c r="O55" s="42"/>
      <c r="P55" s="11" t="str">
        <f>IF(COUNTIF(K55:N55,"Yes")&gt;0,"Yes",IF(COUNTIF(K55:N55,"Maybe")&gt;0,"Maybe","No"))</f>
        <v>Maybe</v>
      </c>
      <c r="Q55" s="42"/>
      <c r="R55" t="str">
        <f>IF(COUNTIF(L55:O55,"Yes")&gt;0,"Yes",IF(COUNTIF(L55:O55,"Maybe")&gt;1,"Maybe","No"))</f>
        <v>Maybe</v>
      </c>
      <c r="S55" s="32" t="str">
        <f>IF(OR(P55="Yes", P55="Maybe"),B55,0)</f>
        <v>Safety Equipment</v>
      </c>
      <c r="T55" s="11">
        <f t="shared" si="16"/>
        <v>0</v>
      </c>
      <c r="U55" s="11">
        <f t="shared" si="17"/>
        <v>0.5</v>
      </c>
      <c r="V55" s="11">
        <f t="shared" si="18"/>
        <v>0.5</v>
      </c>
      <c r="W55" s="17">
        <f t="shared" si="19"/>
        <v>0</v>
      </c>
      <c r="X55" s="17">
        <f t="shared" si="7"/>
        <v>0.25</v>
      </c>
      <c r="Y55" s="17">
        <f t="shared" si="8"/>
        <v>0</v>
      </c>
    </row>
    <row r="56" spans="1:25" x14ac:dyDescent="0.35">
      <c r="A56" s="7">
        <v>8.3000000000000007</v>
      </c>
      <c r="B56" s="53" t="s">
        <v>239</v>
      </c>
      <c r="C56" t="s">
        <v>240</v>
      </c>
      <c r="D56" t="s">
        <v>241</v>
      </c>
      <c r="E56" s="31" t="s">
        <v>233</v>
      </c>
      <c r="F56" s="11" t="str">
        <f>IFERROR(VLOOKUP(B56,'Categories List'!B$2:C$36,2,FALSE),"")</f>
        <v/>
      </c>
      <c r="G56" s="26" t="s">
        <v>118</v>
      </c>
      <c r="H56" s="26" t="s">
        <v>119</v>
      </c>
      <c r="I56" s="26" t="s">
        <v>119</v>
      </c>
      <c r="J56" s="82" t="s">
        <v>119</v>
      </c>
      <c r="K56" s="17" t="s">
        <v>119</v>
      </c>
      <c r="L56" s="11" t="s">
        <v>120</v>
      </c>
      <c r="M56" s="26" t="s">
        <v>120</v>
      </c>
      <c r="N56" s="11" t="s">
        <v>119</v>
      </c>
      <c r="O56" s="42"/>
      <c r="P56" s="11" t="str">
        <f>IF(COUNTIF(K56:N56,"Yes")&gt;0,"Yes",IF(COUNTIF(K56:N56,"Maybe")&gt;0,"Maybe","No"))</f>
        <v>Maybe</v>
      </c>
      <c r="Q56" s="42"/>
      <c r="R56" t="str">
        <f>IF(COUNTIF(L56:O56,"Yes")&gt;0,"Yes",IF(COUNTIF(L56:O56,"Maybe")&gt;1,"Maybe","No"))</f>
        <v>Maybe</v>
      </c>
      <c r="S56" s="32" t="str">
        <f>IF(OR(P56="Yes", P56="Maybe"),B56,0)</f>
        <v>Remote Monitoring Tools</v>
      </c>
      <c r="T56" s="11">
        <f t="shared" si="16"/>
        <v>0</v>
      </c>
      <c r="U56" s="11">
        <f t="shared" si="17"/>
        <v>0.5</v>
      </c>
      <c r="V56" s="11">
        <f t="shared" si="18"/>
        <v>0.5</v>
      </c>
      <c r="W56" s="17">
        <f t="shared" si="19"/>
        <v>0</v>
      </c>
      <c r="X56" s="17">
        <f t="shared" si="7"/>
        <v>0.25</v>
      </c>
      <c r="Y56" s="17">
        <f t="shared" si="8"/>
        <v>0</v>
      </c>
    </row>
    <row r="57" spans="1:25" x14ac:dyDescent="0.35">
      <c r="A57" s="7">
        <v>8.4</v>
      </c>
      <c r="B57" s="53" t="s">
        <v>242</v>
      </c>
      <c r="C57" t="s">
        <v>243</v>
      </c>
      <c r="E57" s="31" t="s">
        <v>233</v>
      </c>
      <c r="F57" s="11" t="str">
        <f>IFERROR(VLOOKUP(B57,'Categories List'!B$2:C$36,2,FALSE),"")</f>
        <v/>
      </c>
      <c r="G57" s="26" t="s">
        <v>118</v>
      </c>
      <c r="H57" s="26" t="s">
        <v>119</v>
      </c>
      <c r="I57" s="26" t="s">
        <v>119</v>
      </c>
      <c r="J57" s="82" t="s">
        <v>118</v>
      </c>
      <c r="K57" s="17" t="s">
        <v>119</v>
      </c>
      <c r="L57" s="11" t="s">
        <v>120</v>
      </c>
      <c r="M57" s="26" t="s">
        <v>120</v>
      </c>
      <c r="N57" s="11" t="s">
        <v>120</v>
      </c>
      <c r="O57" s="42"/>
      <c r="P57" s="11" t="str">
        <f>IF(COUNTIF(K57:N57,"Yes")&gt;0,"Yes",IF(COUNTIF(K57:N57,"Maybe")&gt;0,"Maybe","No"))</f>
        <v>Maybe</v>
      </c>
      <c r="Q57" s="42"/>
      <c r="R57" t="str">
        <f>IF(COUNTIF(L57:O57,"Yes")&gt;0,"Yes",IF(COUNTIF(L57:O57,"Maybe")&gt;1,"Maybe","No"))</f>
        <v>Maybe</v>
      </c>
      <c r="S57" s="32" t="str">
        <f>IF(OR(P57="Yes", P57="Maybe"),B57,0)</f>
        <v>Fault Detection and Diagnostics (FDD) Tools</v>
      </c>
      <c r="T57" s="11">
        <f t="shared" si="16"/>
        <v>0</v>
      </c>
      <c r="U57" s="11">
        <f t="shared" si="17"/>
        <v>0.5</v>
      </c>
      <c r="V57" s="11">
        <f t="shared" si="18"/>
        <v>0.5</v>
      </c>
      <c r="W57" s="17">
        <f t="shared" si="19"/>
        <v>0.5</v>
      </c>
      <c r="X57" s="17">
        <f t="shared" si="7"/>
        <v>0.375</v>
      </c>
      <c r="Y57" s="17">
        <f t="shared" si="8"/>
        <v>0</v>
      </c>
    </row>
    <row r="58" spans="1:25" x14ac:dyDescent="0.35">
      <c r="A58" s="7">
        <v>8.5</v>
      </c>
      <c r="B58" s="53" t="s">
        <v>244</v>
      </c>
      <c r="C58" t="s">
        <v>245</v>
      </c>
      <c r="D58" t="s">
        <v>246</v>
      </c>
      <c r="E58" s="31" t="s">
        <v>233</v>
      </c>
      <c r="F58" s="11" t="str">
        <f>IFERROR(VLOOKUP(B58,'Categories List'!B$2:C$36,2,FALSE),"")</f>
        <v/>
      </c>
      <c r="G58" s="27" t="s">
        <v>118</v>
      </c>
      <c r="H58" s="27" t="s">
        <v>119</v>
      </c>
      <c r="I58" s="27" t="s">
        <v>119</v>
      </c>
      <c r="J58" s="83" t="s">
        <v>119</v>
      </c>
      <c r="K58" s="20" t="s">
        <v>119</v>
      </c>
      <c r="L58" s="19" t="s">
        <v>120</v>
      </c>
      <c r="M58" s="27" t="s">
        <v>119</v>
      </c>
      <c r="N58" s="19" t="s">
        <v>119</v>
      </c>
      <c r="O58" s="42"/>
      <c r="P58" s="11" t="str">
        <f>IF(COUNTIF(K58:N58,"Yes")&gt;0,"Yes",IF(COUNTIF(K58:N58,"Maybe")&gt;0,"Maybe","No"))</f>
        <v>Maybe</v>
      </c>
      <c r="Q58" s="42"/>
      <c r="R58" t="str">
        <f>IF(COUNTIF(L58:O58,"Yes")&gt;0,"Yes",IF(COUNTIF(L58:O58,"Maybe")&gt;1,"Maybe","No"))</f>
        <v>No</v>
      </c>
      <c r="S58" s="32" t="str">
        <f>IF(OR(P58="Yes", P58="Maybe"),B58,0)</f>
        <v>Cybersecurity Tools for Energy Systems</v>
      </c>
      <c r="T58" s="11">
        <f t="shared" si="16"/>
        <v>0</v>
      </c>
      <c r="U58" s="11">
        <f t="shared" si="17"/>
        <v>0.5</v>
      </c>
      <c r="V58" s="11">
        <f t="shared" si="18"/>
        <v>0</v>
      </c>
      <c r="W58" s="17">
        <f t="shared" si="19"/>
        <v>0</v>
      </c>
      <c r="X58" s="17">
        <f t="shared" si="7"/>
        <v>0.125</v>
      </c>
      <c r="Y58" s="17">
        <f t="shared" si="8"/>
        <v>0</v>
      </c>
    </row>
    <row r="59" spans="1:25" ht="16" x14ac:dyDescent="0.35">
      <c r="A59" s="62">
        <v>9</v>
      </c>
      <c r="B59" s="63" t="s">
        <v>66</v>
      </c>
      <c r="C59" s="56"/>
      <c r="D59" s="56"/>
      <c r="E59" s="65" t="s">
        <v>112</v>
      </c>
      <c r="F59" s="60" t="str">
        <f>IFERROR(VLOOKUP(B59,'Categories List'!B$2:C$36,2,FALSE),"")</f>
        <v>Priority 3</v>
      </c>
      <c r="G59" s="26"/>
      <c r="H59" s="26"/>
      <c r="I59" s="26"/>
      <c r="J59" s="82"/>
      <c r="K59" s="17"/>
      <c r="L59" s="11"/>
      <c r="M59" s="26"/>
      <c r="N59" s="11"/>
      <c r="O59" s="42"/>
      <c r="Q59" s="42"/>
      <c r="S59" s="32"/>
      <c r="T59" s="11">
        <f t="shared" si="16"/>
        <v>0</v>
      </c>
      <c r="U59" s="11">
        <f t="shared" si="17"/>
        <v>0</v>
      </c>
      <c r="V59" s="11">
        <f t="shared" si="18"/>
        <v>0</v>
      </c>
      <c r="W59" s="17">
        <f t="shared" si="19"/>
        <v>0</v>
      </c>
      <c r="X59" s="17">
        <f t="shared" si="7"/>
        <v>0</v>
      </c>
      <c r="Y59" s="17">
        <f t="shared" si="8"/>
        <v>0</v>
      </c>
    </row>
    <row r="60" spans="1:25" x14ac:dyDescent="0.35">
      <c r="A60" s="7">
        <v>9.1</v>
      </c>
      <c r="B60" s="53" t="s">
        <v>247</v>
      </c>
      <c r="C60" t="s">
        <v>248</v>
      </c>
      <c r="E60" s="31" t="s">
        <v>112</v>
      </c>
      <c r="F60" s="11" t="str">
        <f>IFERROR(VLOOKUP(B60,'Categories List'!B$2:C$36,2,FALSE),"")</f>
        <v/>
      </c>
      <c r="G60" s="88" t="s">
        <v>119</v>
      </c>
      <c r="H60" s="88" t="s">
        <v>119</v>
      </c>
      <c r="I60" s="88" t="s">
        <v>119</v>
      </c>
      <c r="J60" s="89" t="s">
        <v>120</v>
      </c>
      <c r="K60" s="90" t="s">
        <v>119</v>
      </c>
      <c r="L60" s="91" t="s">
        <v>119</v>
      </c>
      <c r="M60" s="88" t="s">
        <v>119</v>
      </c>
      <c r="N60" s="91" t="s">
        <v>120</v>
      </c>
      <c r="O60" s="42"/>
      <c r="P60" s="11" t="str">
        <f>IF(COUNTIF(K60:N60,"Yes")&gt;0,"Yes",IF(COUNTIF(K60:N60,"Maybe")&gt;0,"Maybe","No"))</f>
        <v>Maybe</v>
      </c>
      <c r="Q60" s="42"/>
      <c r="R60" t="str">
        <f>IF(COUNTIF(L60:O60,"Yes")&gt;0,"Yes",IF(COUNTIF(L60:O60,"Maybe")&gt;1,"Maybe","No"))</f>
        <v>No</v>
      </c>
      <c r="S60" s="32" t="str">
        <f>IF(OR(P60="Yes", P60="Maybe"),B60,0)</f>
        <v>EV Charging Stations</v>
      </c>
      <c r="T60" s="11">
        <f t="shared" si="16"/>
        <v>0</v>
      </c>
      <c r="U60" s="11">
        <f t="shared" si="17"/>
        <v>0</v>
      </c>
      <c r="V60" s="11">
        <f t="shared" si="18"/>
        <v>0</v>
      </c>
      <c r="W60" s="17">
        <f t="shared" si="19"/>
        <v>0.5</v>
      </c>
      <c r="X60" s="17">
        <f t="shared" si="7"/>
        <v>0.125</v>
      </c>
      <c r="Y60" s="17">
        <f t="shared" si="8"/>
        <v>0</v>
      </c>
    </row>
    <row r="61" spans="1:25" x14ac:dyDescent="0.35">
      <c r="A61" s="7">
        <v>9.1999999999999993</v>
      </c>
      <c r="B61" s="53" t="s">
        <v>249</v>
      </c>
      <c r="C61" t="s">
        <v>250</v>
      </c>
      <c r="D61" t="s">
        <v>251</v>
      </c>
      <c r="E61" s="31" t="s">
        <v>112</v>
      </c>
      <c r="F61" s="11" t="str">
        <f>IFERROR(VLOOKUP(B61,'Categories List'!B$2:C$36,2,FALSE),"")</f>
        <v/>
      </c>
      <c r="G61" s="26" t="s">
        <v>119</v>
      </c>
      <c r="H61" s="26" t="s">
        <v>119</v>
      </c>
      <c r="I61" s="26" t="s">
        <v>119</v>
      </c>
      <c r="J61" s="82" t="s">
        <v>119</v>
      </c>
      <c r="K61" s="17" t="s">
        <v>119</v>
      </c>
      <c r="L61" s="11" t="s">
        <v>119</v>
      </c>
      <c r="M61" s="26" t="s">
        <v>120</v>
      </c>
      <c r="N61" s="11" t="s">
        <v>119</v>
      </c>
      <c r="O61" s="42"/>
      <c r="P61" s="11" t="str">
        <f>IF(COUNTIF(K61:N61,"Yes")&gt;0,"Yes",IF(COUNTIF(K61:N61,"Maybe")&gt;0,"Maybe","No"))</f>
        <v>Maybe</v>
      </c>
      <c r="Q61" s="42"/>
      <c r="R61" t="str">
        <f>IF(COUNTIF(L61:O61,"Yes")&gt;0,"Yes",IF(COUNTIF(L61:O61,"Maybe")&gt;1,"Maybe","No"))</f>
        <v>No</v>
      </c>
      <c r="S61" s="32" t="str">
        <f>IF(OR(P61="Yes", P61="Maybe"),B61,0)</f>
        <v>Vehicle-to-Grid (V2G) Technology</v>
      </c>
      <c r="T61" s="11">
        <f t="shared" si="16"/>
        <v>0</v>
      </c>
      <c r="U61" s="11">
        <f t="shared" si="17"/>
        <v>0</v>
      </c>
      <c r="V61" s="11">
        <f t="shared" si="18"/>
        <v>0.5</v>
      </c>
      <c r="W61" s="17">
        <f t="shared" si="19"/>
        <v>0</v>
      </c>
      <c r="X61" s="17">
        <f t="shared" si="7"/>
        <v>0.125</v>
      </c>
      <c r="Y61" s="17">
        <f t="shared" si="8"/>
        <v>0</v>
      </c>
    </row>
    <row r="62" spans="1:25" x14ac:dyDescent="0.35">
      <c r="A62" s="7">
        <v>9.3000000000000007</v>
      </c>
      <c r="B62" s="53" t="s">
        <v>252</v>
      </c>
      <c r="C62" t="s">
        <v>253</v>
      </c>
      <c r="D62" t="s">
        <v>254</v>
      </c>
      <c r="E62" s="31" t="s">
        <v>112</v>
      </c>
      <c r="F62" s="11" t="str">
        <f>IFERROR(VLOOKUP(B62,'Categories List'!B$2:C$36,2,FALSE),"")</f>
        <v/>
      </c>
      <c r="G62" s="26" t="s">
        <v>119</v>
      </c>
      <c r="H62" s="26" t="s">
        <v>119</v>
      </c>
      <c r="I62" s="26" t="s">
        <v>119</v>
      </c>
      <c r="J62" s="82" t="s">
        <v>119</v>
      </c>
      <c r="K62" s="17" t="s">
        <v>119</v>
      </c>
      <c r="L62" s="11" t="s">
        <v>119</v>
      </c>
      <c r="M62" s="26" t="s">
        <v>118</v>
      </c>
      <c r="N62" s="11" t="s">
        <v>119</v>
      </c>
      <c r="O62" s="42"/>
      <c r="P62" s="11" t="str">
        <f>IF(COUNTIF(K62:N62,"Yes")&gt;0,"Yes",IF(COUNTIF(K62:N62,"Maybe")&gt;0,"Maybe","No"))</f>
        <v>Yes</v>
      </c>
      <c r="Q62" s="42"/>
      <c r="R62" t="str">
        <f>IF(COUNTIF(L62:O62,"Yes")&gt;0,"Yes",IF(COUNTIF(L62:O62,"Maybe")&gt;1,"Maybe","No"))</f>
        <v>Yes</v>
      </c>
      <c r="S62" s="32" t="str">
        <f>IF(OR(P62="Yes", P62="Maybe"),B62,0)</f>
        <v>EV Fleet Management Software</v>
      </c>
      <c r="T62" s="11">
        <f t="shared" si="16"/>
        <v>0</v>
      </c>
      <c r="U62" s="11">
        <f t="shared" si="17"/>
        <v>0</v>
      </c>
      <c r="V62" s="11">
        <f t="shared" si="18"/>
        <v>1</v>
      </c>
      <c r="W62" s="17">
        <f t="shared" si="19"/>
        <v>0</v>
      </c>
      <c r="X62" s="17">
        <f t="shared" si="7"/>
        <v>0.25</v>
      </c>
      <c r="Y62" s="17">
        <f t="shared" si="8"/>
        <v>0</v>
      </c>
    </row>
    <row r="63" spans="1:25" x14ac:dyDescent="0.35">
      <c r="A63" s="7">
        <v>9.4</v>
      </c>
      <c r="B63" s="53" t="s">
        <v>255</v>
      </c>
      <c r="C63" t="s">
        <v>256</v>
      </c>
      <c r="D63" t="s">
        <v>257</v>
      </c>
      <c r="E63" s="31" t="s">
        <v>112</v>
      </c>
      <c r="F63" s="11" t="str">
        <f>IFERROR(VLOOKUP(B63,'Categories List'!B$2:C$36,2,FALSE),"")</f>
        <v/>
      </c>
      <c r="G63" s="26" t="s">
        <v>118</v>
      </c>
      <c r="H63" s="26" t="s">
        <v>119</v>
      </c>
      <c r="I63" s="26" t="s">
        <v>119</v>
      </c>
      <c r="J63" s="82" t="s">
        <v>119</v>
      </c>
      <c r="K63" s="17" t="s">
        <v>118</v>
      </c>
      <c r="L63" s="11" t="s">
        <v>119</v>
      </c>
      <c r="M63" s="26" t="s">
        <v>118</v>
      </c>
      <c r="N63" s="11" t="s">
        <v>120</v>
      </c>
      <c r="O63" s="42"/>
      <c r="P63" s="11" t="str">
        <f>IF(COUNTIF(K63:N63,"Yes")&gt;0,"Yes",IF(COUNTIF(K63:N63,"Maybe")&gt;0,"Maybe","No"))</f>
        <v>Yes</v>
      </c>
      <c r="Q63" s="42"/>
      <c r="R63" t="str">
        <f>IF(COUNTIF(L63:O63,"Yes")&gt;0,"Yes",IF(COUNTIF(L63:O63,"Maybe")&gt;1,"Maybe","No"))</f>
        <v>Yes</v>
      </c>
      <c r="S63" s="32" t="str">
        <f>IF(OR(P63="Yes", P63="Maybe"),B63,0)</f>
        <v>Smart Charging Algorithms</v>
      </c>
      <c r="T63" s="11">
        <f t="shared" si="16"/>
        <v>1</v>
      </c>
      <c r="U63" s="11">
        <f t="shared" si="17"/>
        <v>0</v>
      </c>
      <c r="V63" s="11">
        <f t="shared" si="18"/>
        <v>1</v>
      </c>
      <c r="W63" s="17">
        <f t="shared" si="19"/>
        <v>0.5</v>
      </c>
      <c r="X63" s="17">
        <f t="shared" si="7"/>
        <v>0.625</v>
      </c>
      <c r="Y63" s="17">
        <f t="shared" si="8"/>
        <v>1</v>
      </c>
    </row>
    <row r="64" spans="1:25" x14ac:dyDescent="0.35">
      <c r="A64" s="7">
        <v>9.5</v>
      </c>
      <c r="B64" s="53" t="s">
        <v>258</v>
      </c>
      <c r="C64" t="s">
        <v>259</v>
      </c>
      <c r="D64" t="s">
        <v>260</v>
      </c>
      <c r="E64" s="31" t="s">
        <v>112</v>
      </c>
      <c r="F64" s="11" t="str">
        <f>IFERROR(VLOOKUP(B64,'Categories List'!B$2:C$36,2,FALSE),"")</f>
        <v/>
      </c>
      <c r="G64" s="27" t="s">
        <v>119</v>
      </c>
      <c r="H64" s="27" t="s">
        <v>119</v>
      </c>
      <c r="I64" s="27" t="s">
        <v>119</v>
      </c>
      <c r="J64" s="83" t="s">
        <v>118</v>
      </c>
      <c r="K64" s="20" t="s">
        <v>119</v>
      </c>
      <c r="L64" s="19" t="s">
        <v>119</v>
      </c>
      <c r="M64" s="27" t="s">
        <v>120</v>
      </c>
      <c r="N64" s="19" t="s">
        <v>119</v>
      </c>
      <c r="O64" s="42"/>
      <c r="P64" s="11" t="str">
        <f>IF(COUNTIF(K64:N64,"Yes")&gt;0,"Yes",IF(COUNTIF(K64:N64,"Maybe")&gt;0,"Maybe","No"))</f>
        <v>Maybe</v>
      </c>
      <c r="Q64" s="42"/>
      <c r="R64" t="str">
        <f>IF(COUNTIF(L64:O64,"Yes")&gt;0,"Yes",IF(COUNTIF(L64:O64,"Maybe")&gt;1,"Maybe","No"))</f>
        <v>No</v>
      </c>
      <c r="S64" s="32" t="str">
        <f>IF(OR(P64="Yes", P64="Maybe"),B64,0)</f>
        <v>EV Integration with Renewable Energy Systems</v>
      </c>
      <c r="T64" s="11">
        <f t="shared" si="16"/>
        <v>0</v>
      </c>
      <c r="U64" s="11">
        <f t="shared" si="17"/>
        <v>0</v>
      </c>
      <c r="V64" s="11">
        <f t="shared" si="18"/>
        <v>0.5</v>
      </c>
      <c r="W64" s="17">
        <f t="shared" si="19"/>
        <v>0</v>
      </c>
      <c r="X64" s="17">
        <f t="shared" si="7"/>
        <v>0.125</v>
      </c>
      <c r="Y64" s="17">
        <f t="shared" si="8"/>
        <v>0</v>
      </c>
    </row>
    <row r="65" spans="1:25" ht="16" x14ac:dyDescent="0.35">
      <c r="A65" s="62">
        <v>10</v>
      </c>
      <c r="B65" s="63" t="s">
        <v>68</v>
      </c>
      <c r="C65" s="56"/>
      <c r="D65" s="56"/>
      <c r="E65" s="65" t="s">
        <v>112</v>
      </c>
      <c r="F65" s="61" t="str">
        <f>IFERROR(VLOOKUP(B65,'Categories List'!B$2:C$36,2,FALSE),"")</f>
        <v>Priority 3</v>
      </c>
      <c r="G65" s="26"/>
      <c r="H65" s="26"/>
      <c r="I65" s="26"/>
      <c r="J65" s="82"/>
      <c r="K65" s="17"/>
      <c r="L65" s="11"/>
      <c r="M65" s="26"/>
      <c r="N65" s="11"/>
      <c r="O65" s="42"/>
      <c r="Q65" s="42"/>
      <c r="S65" s="32"/>
      <c r="T65" s="11">
        <f t="shared" si="16"/>
        <v>0</v>
      </c>
      <c r="U65" s="11">
        <f t="shared" si="17"/>
        <v>0</v>
      </c>
      <c r="V65" s="11">
        <f t="shared" si="18"/>
        <v>0</v>
      </c>
      <c r="W65" s="17">
        <f t="shared" si="19"/>
        <v>0</v>
      </c>
      <c r="X65" s="17">
        <f t="shared" si="7"/>
        <v>0</v>
      </c>
      <c r="Y65" s="17">
        <f t="shared" si="8"/>
        <v>0</v>
      </c>
    </row>
    <row r="66" spans="1:25" x14ac:dyDescent="0.35">
      <c r="A66" s="7">
        <v>10.1</v>
      </c>
      <c r="B66" s="53" t="s">
        <v>261</v>
      </c>
      <c r="C66" t="s">
        <v>262</v>
      </c>
      <c r="D66" t="s">
        <v>263</v>
      </c>
      <c r="E66" s="31" t="s">
        <v>112</v>
      </c>
      <c r="F66" s="11" t="str">
        <f>IFERROR(VLOOKUP(B66,'Categories List'!B$2:C$36,2,FALSE),"")</f>
        <v/>
      </c>
      <c r="G66" s="88" t="s">
        <v>119</v>
      </c>
      <c r="H66" s="88" t="s">
        <v>119</v>
      </c>
      <c r="I66" s="88" t="s">
        <v>119</v>
      </c>
      <c r="J66" s="89" t="s">
        <v>119</v>
      </c>
      <c r="K66" s="90" t="s">
        <v>119</v>
      </c>
      <c r="L66" s="91" t="s">
        <v>119</v>
      </c>
      <c r="M66" s="88" t="s">
        <v>119</v>
      </c>
      <c r="N66" s="91" t="s">
        <v>119</v>
      </c>
      <c r="O66" s="42"/>
      <c r="P66" s="11" t="str">
        <f>IF(COUNTIF(K66:N66,"Yes")&gt;0,"Yes",IF(COUNTIF(K66:N66,"Maybe")&gt;0,"Maybe","No"))</f>
        <v>No</v>
      </c>
      <c r="Q66" s="42"/>
      <c r="R66" t="str">
        <f>IF(COUNTIF(L66:O66,"Yes")&gt;0,"Yes",IF(COUNTIF(L66:O66,"Maybe")&gt;1,"Maybe","No"))</f>
        <v>No</v>
      </c>
      <c r="S66" s="32"/>
      <c r="T66" s="11">
        <f t="shared" si="16"/>
        <v>0</v>
      </c>
      <c r="U66" s="11">
        <f t="shared" si="17"/>
        <v>0</v>
      </c>
      <c r="V66" s="11">
        <f t="shared" si="18"/>
        <v>0</v>
      </c>
      <c r="W66" s="17">
        <f t="shared" si="19"/>
        <v>0</v>
      </c>
      <c r="X66" s="17">
        <f t="shared" si="7"/>
        <v>0</v>
      </c>
      <c r="Y66" s="17">
        <f t="shared" si="8"/>
        <v>0</v>
      </c>
    </row>
    <row r="67" spans="1:25" x14ac:dyDescent="0.35">
      <c r="A67" s="7">
        <v>10.199999999999999</v>
      </c>
      <c r="B67" s="53" t="s">
        <v>264</v>
      </c>
      <c r="C67" t="s">
        <v>265</v>
      </c>
      <c r="D67" t="s">
        <v>266</v>
      </c>
      <c r="E67" s="31" t="s">
        <v>112</v>
      </c>
      <c r="F67" s="11" t="str">
        <f>IFERROR(VLOOKUP(B67,'Categories List'!B$2:C$36,2,FALSE),"")</f>
        <v/>
      </c>
      <c r="G67" s="26" t="s">
        <v>119</v>
      </c>
      <c r="H67" s="26" t="s">
        <v>119</v>
      </c>
      <c r="I67" s="26" t="s">
        <v>119</v>
      </c>
      <c r="J67" s="82" t="s">
        <v>119</v>
      </c>
      <c r="K67" s="17" t="s">
        <v>119</v>
      </c>
      <c r="L67" s="11" t="s">
        <v>119</v>
      </c>
      <c r="M67" s="26" t="s">
        <v>119</v>
      </c>
      <c r="N67" s="11" t="s">
        <v>119</v>
      </c>
      <c r="O67" s="42"/>
      <c r="P67" s="11" t="str">
        <f>IF(COUNTIF(K67:N67,"Yes")&gt;0,"Yes",IF(COUNTIF(K67:N67,"Maybe")&gt;0,"Maybe","No"))</f>
        <v>No</v>
      </c>
      <c r="Q67" s="42"/>
      <c r="R67" t="str">
        <f>IF(COUNTIF(L67:O67,"Yes")&gt;0,"Yes",IF(COUNTIF(L67:O67,"Maybe")&gt;1,"Maybe","No"))</f>
        <v>No</v>
      </c>
      <c r="S67" s="32"/>
      <c r="T67" s="11">
        <f t="shared" si="16"/>
        <v>0</v>
      </c>
      <c r="U67" s="11">
        <f t="shared" si="17"/>
        <v>0</v>
      </c>
      <c r="V67" s="11">
        <f t="shared" si="18"/>
        <v>0</v>
      </c>
      <c r="W67" s="17">
        <f t="shared" si="19"/>
        <v>0</v>
      </c>
      <c r="X67" s="17">
        <f t="shared" si="7"/>
        <v>0</v>
      </c>
      <c r="Y67" s="17">
        <f t="shared" si="8"/>
        <v>0</v>
      </c>
    </row>
    <row r="68" spans="1:25" x14ac:dyDescent="0.35">
      <c r="A68" s="7">
        <v>10.4</v>
      </c>
      <c r="B68" s="53" t="s">
        <v>267</v>
      </c>
      <c r="C68" t="s">
        <v>268</v>
      </c>
      <c r="E68" s="31" t="s">
        <v>112</v>
      </c>
      <c r="F68" s="11" t="str">
        <f>IFERROR(VLOOKUP(B68,'Categories List'!B$2:C$36,2,FALSE),"")</f>
        <v/>
      </c>
      <c r="G68" s="27" t="s">
        <v>119</v>
      </c>
      <c r="H68" s="27" t="s">
        <v>119</v>
      </c>
      <c r="I68" s="27" t="s">
        <v>119</v>
      </c>
      <c r="J68" s="83" t="s">
        <v>119</v>
      </c>
      <c r="K68" s="20" t="s">
        <v>119</v>
      </c>
      <c r="L68" s="19" t="s">
        <v>119</v>
      </c>
      <c r="M68" s="27" t="s">
        <v>119</v>
      </c>
      <c r="N68" s="19" t="s">
        <v>119</v>
      </c>
      <c r="O68" s="42"/>
      <c r="P68" s="11" t="str">
        <f>IF(COUNTIF(K68:N68,"Yes")&gt;0,"Yes",IF(COUNTIF(K68:N68,"Maybe")&gt;0,"Maybe","No"))</f>
        <v>No</v>
      </c>
      <c r="Q68" s="42"/>
      <c r="R68" t="str">
        <f>IF(COUNTIF(L68:O68,"Yes")&gt;0,"Yes",IF(COUNTIF(L68:O68,"Maybe")&gt;1,"Maybe","No"))</f>
        <v>No</v>
      </c>
      <c r="S68" s="32"/>
      <c r="T68" s="11">
        <f t="shared" si="16"/>
        <v>0</v>
      </c>
      <c r="U68" s="11">
        <f t="shared" si="17"/>
        <v>0</v>
      </c>
      <c r="V68" s="11">
        <f t="shared" si="18"/>
        <v>0</v>
      </c>
      <c r="W68" s="17">
        <f t="shared" si="19"/>
        <v>0</v>
      </c>
      <c r="X68" s="17">
        <f t="shared" si="7"/>
        <v>0</v>
      </c>
      <c r="Y68" s="17">
        <f t="shared" si="8"/>
        <v>0</v>
      </c>
    </row>
    <row r="69" spans="1:25" ht="16" x14ac:dyDescent="0.35">
      <c r="A69" s="62">
        <v>11</v>
      </c>
      <c r="B69" s="63" t="s">
        <v>70</v>
      </c>
      <c r="C69" s="56"/>
      <c r="D69" s="56"/>
      <c r="E69" s="65" t="s">
        <v>219</v>
      </c>
      <c r="F69" s="55" t="str">
        <f>IFERROR(VLOOKUP(B69,'Categories List'!B$2:C$36,2,FALSE),"")</f>
        <v>Priority 1</v>
      </c>
      <c r="G69" s="26"/>
      <c r="H69" s="26"/>
      <c r="I69" s="26"/>
      <c r="J69" s="82"/>
      <c r="K69" s="17"/>
      <c r="L69" s="11"/>
      <c r="M69" s="26"/>
      <c r="N69" s="11"/>
      <c r="O69" s="42"/>
      <c r="Q69" s="42"/>
      <c r="S69" s="32"/>
      <c r="T69" s="11">
        <f t="shared" ref="T69:T100" si="21">IF(K69="Yes",1,IF(K69="Maybe",0.5,0))</f>
        <v>0</v>
      </c>
      <c r="U69" s="11">
        <f t="shared" ref="U69:U100" si="22">IF(L69="Yes",1,IF(L69="Maybe",0.5,0))</f>
        <v>0</v>
      </c>
      <c r="V69" s="11">
        <f t="shared" ref="V69:V100" si="23">IF(M69="Yes",1,IF(M69="Maybe",0.5,0))</f>
        <v>0</v>
      </c>
      <c r="W69" s="17">
        <f t="shared" ref="W69:W100" si="24">IF(N69="Yes",1,IF(N69="Maybe",0.5,0))</f>
        <v>0</v>
      </c>
      <c r="X69" s="17">
        <f t="shared" si="7"/>
        <v>0</v>
      </c>
      <c r="Y69" s="17">
        <f t="shared" si="8"/>
        <v>0</v>
      </c>
    </row>
    <row r="70" spans="1:25" x14ac:dyDescent="0.35">
      <c r="A70" s="7">
        <v>11.1</v>
      </c>
      <c r="B70" s="53" t="s">
        <v>269</v>
      </c>
      <c r="C70" t="s">
        <v>270</v>
      </c>
      <c r="D70" t="s">
        <v>271</v>
      </c>
      <c r="E70" s="31" t="s">
        <v>219</v>
      </c>
      <c r="F70" s="11" t="str">
        <f>IFERROR(VLOOKUP(B70,'Categories List'!B$2:C$36,2,FALSE),"")</f>
        <v/>
      </c>
      <c r="G70" s="88" t="s">
        <v>118</v>
      </c>
      <c r="H70" s="88" t="s">
        <v>119</v>
      </c>
      <c r="I70" s="88" t="s">
        <v>119</v>
      </c>
      <c r="J70" s="89" t="s">
        <v>119</v>
      </c>
      <c r="K70" s="90" t="s">
        <v>118</v>
      </c>
      <c r="L70" s="91" t="s">
        <v>118</v>
      </c>
      <c r="M70" s="88" t="s">
        <v>118</v>
      </c>
      <c r="N70" s="91" t="s">
        <v>118</v>
      </c>
      <c r="O70" s="42"/>
      <c r="P70" s="11" t="str">
        <f>IF(COUNTIF(K70:N70,"Yes")&gt;0,"Yes",IF(COUNTIF(K70:N70,"Maybe")&gt;0,"Maybe","No"))</f>
        <v>Yes</v>
      </c>
      <c r="Q70" s="42"/>
      <c r="R70" t="str">
        <f>IF(COUNTIF(L70:O70,"Yes")&gt;0,"Yes",IF(COUNTIF(L70:O70,"Maybe")&gt;1,"Maybe","No"))</f>
        <v>Yes</v>
      </c>
      <c r="S70" s="32" t="str">
        <f>IF(OR(P70="Yes", P70="Maybe"),B70,0)</f>
        <v>AI-Powered Energy Forecasting</v>
      </c>
      <c r="T70" s="11">
        <f t="shared" si="21"/>
        <v>1</v>
      </c>
      <c r="U70" s="11">
        <f t="shared" si="22"/>
        <v>1</v>
      </c>
      <c r="V70" s="11">
        <f t="shared" si="23"/>
        <v>1</v>
      </c>
      <c r="W70" s="17">
        <f t="shared" si="24"/>
        <v>1</v>
      </c>
      <c r="X70" s="17">
        <f t="shared" ref="X70:X133" si="25">SUM(T70:W70)/4</f>
        <v>1</v>
      </c>
      <c r="Y70" s="17">
        <f t="shared" ref="Y70:Y133" si="26">+IF(X70&gt;0.49,1,0)</f>
        <v>1</v>
      </c>
    </row>
    <row r="71" spans="1:25" x14ac:dyDescent="0.35">
      <c r="A71" s="7">
        <v>11.2</v>
      </c>
      <c r="B71" s="53" t="s">
        <v>272</v>
      </c>
      <c r="C71" t="s">
        <v>273</v>
      </c>
      <c r="D71" t="s">
        <v>274</v>
      </c>
      <c r="E71" s="31" t="s">
        <v>219</v>
      </c>
      <c r="F71" s="11" t="str">
        <f>IFERROR(VLOOKUP(B71,'Categories List'!B$2:C$36,2,FALSE),"")</f>
        <v/>
      </c>
      <c r="G71" s="26" t="s">
        <v>118</v>
      </c>
      <c r="H71" s="26" t="s">
        <v>119</v>
      </c>
      <c r="I71" s="26" t="s">
        <v>119</v>
      </c>
      <c r="J71" s="82" t="s">
        <v>119</v>
      </c>
      <c r="K71" s="17" t="s">
        <v>118</v>
      </c>
      <c r="L71" s="11" t="s">
        <v>118</v>
      </c>
      <c r="M71" s="26" t="s">
        <v>118</v>
      </c>
      <c r="N71" s="11" t="s">
        <v>120</v>
      </c>
      <c r="O71" s="42"/>
      <c r="P71" s="11" t="str">
        <f>IF(COUNTIF(K71:N71,"Yes")&gt;0,"Yes",IF(COUNTIF(K71:N71,"Maybe")&gt;0,"Maybe","No"))</f>
        <v>Yes</v>
      </c>
      <c r="Q71" s="42"/>
      <c r="R71" t="str">
        <f>IF(COUNTIF(L71:O71,"Yes")&gt;0,"Yes",IF(COUNTIF(L71:O71,"Maybe")&gt;1,"Maybe","No"))</f>
        <v>Yes</v>
      </c>
      <c r="S71" s="32" t="str">
        <f>IF(OR(P71="Yes", P71="Maybe"),B71,0)</f>
        <v>Machine Learning Algorithms</v>
      </c>
      <c r="T71" s="11">
        <f t="shared" si="21"/>
        <v>1</v>
      </c>
      <c r="U71" s="11">
        <f t="shared" si="22"/>
        <v>1</v>
      </c>
      <c r="V71" s="11">
        <f t="shared" si="23"/>
        <v>1</v>
      </c>
      <c r="W71" s="17">
        <f t="shared" si="24"/>
        <v>0.5</v>
      </c>
      <c r="X71" s="17">
        <f t="shared" si="25"/>
        <v>0.875</v>
      </c>
      <c r="Y71" s="17">
        <f t="shared" si="26"/>
        <v>1</v>
      </c>
    </row>
    <row r="72" spans="1:25" x14ac:dyDescent="0.35">
      <c r="A72" s="7">
        <v>11.3</v>
      </c>
      <c r="B72" s="53" t="s">
        <v>275</v>
      </c>
      <c r="C72" t="s">
        <v>276</v>
      </c>
      <c r="D72" t="s">
        <v>277</v>
      </c>
      <c r="E72" s="31" t="s">
        <v>219</v>
      </c>
      <c r="F72" s="11" t="str">
        <f>IFERROR(VLOOKUP(B72,'Categories List'!B$2:C$36,2,FALSE),"")</f>
        <v/>
      </c>
      <c r="G72" s="26" t="s">
        <v>118</v>
      </c>
      <c r="H72" s="26" t="s">
        <v>119</v>
      </c>
      <c r="I72" s="26" t="s">
        <v>119</v>
      </c>
      <c r="J72" s="82" t="s">
        <v>119</v>
      </c>
      <c r="K72" s="17" t="s">
        <v>118</v>
      </c>
      <c r="L72" s="11" t="s">
        <v>118</v>
      </c>
      <c r="M72" s="26" t="s">
        <v>118</v>
      </c>
      <c r="N72" s="11" t="s">
        <v>120</v>
      </c>
      <c r="O72" s="42"/>
      <c r="P72" s="11" t="str">
        <f>IF(COUNTIF(K72:N72,"Yes")&gt;0,"Yes",IF(COUNTIF(K72:N72,"Maybe")&gt;0,"Maybe","No"))</f>
        <v>Yes</v>
      </c>
      <c r="Q72" s="42"/>
      <c r="R72" t="str">
        <f>IF(COUNTIF(L72:O72,"Yes")&gt;0,"Yes",IF(COUNTIF(L72:O72,"Maybe")&gt;1,"Maybe","No"))</f>
        <v>Yes</v>
      </c>
      <c r="S72" s="32" t="str">
        <f>IF(OR(P72="Yes", P72="Maybe"),B72,0)</f>
        <v>AI-Driven Energy Optimization</v>
      </c>
      <c r="T72" s="11">
        <f t="shared" si="21"/>
        <v>1</v>
      </c>
      <c r="U72" s="11">
        <f t="shared" si="22"/>
        <v>1</v>
      </c>
      <c r="V72" s="11">
        <f t="shared" si="23"/>
        <v>1</v>
      </c>
      <c r="W72" s="17">
        <f t="shared" si="24"/>
        <v>0.5</v>
      </c>
      <c r="X72" s="17">
        <f t="shared" si="25"/>
        <v>0.875</v>
      </c>
      <c r="Y72" s="17">
        <f t="shared" si="26"/>
        <v>1</v>
      </c>
    </row>
    <row r="73" spans="1:25" x14ac:dyDescent="0.35">
      <c r="A73" s="7">
        <v>11.4</v>
      </c>
      <c r="B73" s="53" t="s">
        <v>278</v>
      </c>
      <c r="C73" t="s">
        <v>279</v>
      </c>
      <c r="D73" t="s">
        <v>280</v>
      </c>
      <c r="E73" s="31" t="s">
        <v>219</v>
      </c>
      <c r="F73" s="11" t="str">
        <f>IFERROR(VLOOKUP(B73,'Categories List'!B$2:C$36,2,FALSE),"")</f>
        <v/>
      </c>
      <c r="G73" s="26" t="s">
        <v>119</v>
      </c>
      <c r="H73" s="26" t="s">
        <v>119</v>
      </c>
      <c r="I73" s="26" t="s">
        <v>119</v>
      </c>
      <c r="J73" s="82" t="s">
        <v>119</v>
      </c>
      <c r="K73" s="17" t="s">
        <v>120</v>
      </c>
      <c r="L73" s="11" t="s">
        <v>118</v>
      </c>
      <c r="M73" s="26" t="s">
        <v>118</v>
      </c>
      <c r="N73" s="11" t="s">
        <v>120</v>
      </c>
      <c r="O73" s="42"/>
      <c r="P73" s="11" t="str">
        <f>IF(COUNTIF(K73:N73,"Yes")&gt;0,"Yes",IF(COUNTIF(K73:N73,"Maybe")&gt;0,"Maybe","No"))</f>
        <v>Yes</v>
      </c>
      <c r="Q73" s="42"/>
      <c r="R73" t="str">
        <f>IF(COUNTIF(L73:O73,"Yes")&gt;0,"Yes",IF(COUNTIF(L73:O73,"Maybe")&gt;1,"Maybe","No"))</f>
        <v>Yes</v>
      </c>
      <c r="S73" s="32" t="str">
        <f>IF(OR(P73="Yes", P73="Maybe"),B73,0)</f>
        <v>Anomaly Detection in Energy Systems</v>
      </c>
      <c r="T73" s="11">
        <f t="shared" si="21"/>
        <v>0.5</v>
      </c>
      <c r="U73" s="11">
        <f t="shared" si="22"/>
        <v>1</v>
      </c>
      <c r="V73" s="11">
        <f t="shared" si="23"/>
        <v>1</v>
      </c>
      <c r="W73" s="17">
        <f t="shared" si="24"/>
        <v>0.5</v>
      </c>
      <c r="X73" s="17">
        <f t="shared" si="25"/>
        <v>0.75</v>
      </c>
      <c r="Y73" s="17">
        <f t="shared" si="26"/>
        <v>1</v>
      </c>
    </row>
    <row r="74" spans="1:25" x14ac:dyDescent="0.35">
      <c r="A74" s="7">
        <v>11.5</v>
      </c>
      <c r="B74" s="53" t="s">
        <v>281</v>
      </c>
      <c r="C74" t="s">
        <v>282</v>
      </c>
      <c r="D74" t="s">
        <v>283</v>
      </c>
      <c r="E74" s="31" t="s">
        <v>219</v>
      </c>
      <c r="F74" s="11" t="str">
        <f>IFERROR(VLOOKUP(B74,'Categories List'!B$2:C$36,2,FALSE),"")</f>
        <v/>
      </c>
      <c r="G74" s="27" t="s">
        <v>119</v>
      </c>
      <c r="H74" s="27" t="s">
        <v>119</v>
      </c>
      <c r="I74" s="27" t="s">
        <v>119</v>
      </c>
      <c r="J74" s="83" t="s">
        <v>119</v>
      </c>
      <c r="K74" s="20" t="s">
        <v>119</v>
      </c>
      <c r="L74" s="19" t="s">
        <v>118</v>
      </c>
      <c r="M74" s="27" t="s">
        <v>118</v>
      </c>
      <c r="N74" s="19" t="s">
        <v>120</v>
      </c>
      <c r="O74" s="42"/>
      <c r="P74" s="11" t="str">
        <f>IF(COUNTIF(K74:N74,"Yes")&gt;0,"Yes",IF(COUNTIF(K74:N74,"Maybe")&gt;0,"Maybe","No"))</f>
        <v>Yes</v>
      </c>
      <c r="Q74" s="42"/>
      <c r="R74" t="str">
        <f>IF(COUNTIF(L74:O74,"Yes")&gt;0,"Yes",IF(COUNTIF(L74:O74,"Maybe")&gt;1,"Maybe","No"))</f>
        <v>Yes</v>
      </c>
      <c r="S74" s="32" t="str">
        <f>IF(OR(P74="Yes", P74="Maybe"),B74,0)</f>
        <v>AI for Predictive Maintenance</v>
      </c>
      <c r="T74" s="11">
        <f t="shared" si="21"/>
        <v>0</v>
      </c>
      <c r="U74" s="11">
        <f t="shared" si="22"/>
        <v>1</v>
      </c>
      <c r="V74" s="11">
        <f t="shared" si="23"/>
        <v>1</v>
      </c>
      <c r="W74" s="17">
        <f t="shared" si="24"/>
        <v>0.5</v>
      </c>
      <c r="X74" s="17">
        <f t="shared" si="25"/>
        <v>0.625</v>
      </c>
      <c r="Y74" s="17">
        <f t="shared" si="26"/>
        <v>1</v>
      </c>
    </row>
    <row r="75" spans="1:25" ht="16" x14ac:dyDescent="0.35">
      <c r="A75" s="62">
        <v>12</v>
      </c>
      <c r="B75" s="63" t="s">
        <v>71</v>
      </c>
      <c r="C75" s="56"/>
      <c r="D75" s="56"/>
      <c r="E75" s="65" t="s">
        <v>284</v>
      </c>
      <c r="F75" s="60" t="str">
        <f>IFERROR(VLOOKUP(B75,'Categories List'!B$2:C$36,2,FALSE),"")</f>
        <v>Priority 3</v>
      </c>
      <c r="G75" s="26"/>
      <c r="H75" s="26"/>
      <c r="I75" s="26"/>
      <c r="J75" s="82"/>
      <c r="K75" s="17"/>
      <c r="L75" s="11"/>
      <c r="M75" s="26"/>
      <c r="N75" s="11"/>
      <c r="O75" s="42"/>
      <c r="Q75" s="42"/>
      <c r="S75" s="32"/>
      <c r="T75" s="11">
        <f t="shared" si="21"/>
        <v>0</v>
      </c>
      <c r="U75" s="11">
        <f t="shared" si="22"/>
        <v>0</v>
      </c>
      <c r="V75" s="11">
        <f t="shared" si="23"/>
        <v>0</v>
      </c>
      <c r="W75" s="17">
        <f t="shared" si="24"/>
        <v>0</v>
      </c>
      <c r="X75" s="17">
        <f t="shared" si="25"/>
        <v>0</v>
      </c>
      <c r="Y75" s="17">
        <f t="shared" si="26"/>
        <v>0</v>
      </c>
    </row>
    <row r="76" spans="1:25" x14ac:dyDescent="0.35">
      <c r="A76" s="7">
        <v>12.1</v>
      </c>
      <c r="B76" s="53" t="s">
        <v>285</v>
      </c>
      <c r="C76" t="s">
        <v>286</v>
      </c>
      <c r="D76" t="s">
        <v>287</v>
      </c>
      <c r="E76" s="31" t="s">
        <v>284</v>
      </c>
      <c r="F76" s="11" t="str">
        <f>IFERROR(VLOOKUP(B76,'Categories List'!B$2:C$36,2,FALSE),"")</f>
        <v/>
      </c>
      <c r="G76" s="88" t="s">
        <v>119</v>
      </c>
      <c r="H76" s="88" t="s">
        <v>119</v>
      </c>
      <c r="I76" s="88" t="s">
        <v>119</v>
      </c>
      <c r="J76" s="89" t="s">
        <v>119</v>
      </c>
      <c r="K76" s="90" t="s">
        <v>119</v>
      </c>
      <c r="L76" s="91" t="s">
        <v>120</v>
      </c>
      <c r="M76" s="88" t="s">
        <v>120</v>
      </c>
      <c r="N76" s="91" t="s">
        <v>120</v>
      </c>
      <c r="O76" s="42"/>
      <c r="P76" s="11" t="str">
        <f>IF(COUNTIF(K76:N76,"Yes")&gt;0,"Yes",IF(COUNTIF(K76:N76,"Maybe")&gt;0,"Maybe","No"))</f>
        <v>Maybe</v>
      </c>
      <c r="Q76" s="42"/>
      <c r="R76" t="str">
        <f>IF(COUNTIF(L76:O76,"Yes")&gt;0,"Yes",IF(COUNTIF(L76:O76,"Maybe")&gt;1,"Maybe","No"))</f>
        <v>Maybe</v>
      </c>
      <c r="S76" s="32" t="str">
        <f>IF(OR(P76="Yes", P76="Maybe"),B76,0)</f>
        <v>Tokenized Energy Assets</v>
      </c>
      <c r="T76" s="11">
        <f t="shared" si="21"/>
        <v>0</v>
      </c>
      <c r="U76" s="11">
        <f t="shared" si="22"/>
        <v>0.5</v>
      </c>
      <c r="V76" s="11">
        <f t="shared" si="23"/>
        <v>0.5</v>
      </c>
      <c r="W76" s="17">
        <f t="shared" si="24"/>
        <v>0.5</v>
      </c>
      <c r="X76" s="17">
        <f t="shared" si="25"/>
        <v>0.375</v>
      </c>
      <c r="Y76" s="17">
        <f t="shared" si="26"/>
        <v>0</v>
      </c>
    </row>
    <row r="77" spans="1:25" x14ac:dyDescent="0.35">
      <c r="A77" s="7">
        <v>12.2</v>
      </c>
      <c r="B77" s="53" t="s">
        <v>288</v>
      </c>
      <c r="C77" t="s">
        <v>289</v>
      </c>
      <c r="D77" t="s">
        <v>290</v>
      </c>
      <c r="E77" s="31" t="s">
        <v>284</v>
      </c>
      <c r="F77" s="11" t="str">
        <f>IFERROR(VLOOKUP(B77,'Categories List'!B$2:C$36,2,FALSE),"")</f>
        <v/>
      </c>
      <c r="G77" s="26" t="s">
        <v>119</v>
      </c>
      <c r="H77" s="26" t="s">
        <v>119</v>
      </c>
      <c r="I77" s="26" t="s">
        <v>119</v>
      </c>
      <c r="J77" s="82" t="s">
        <v>119</v>
      </c>
      <c r="K77" s="17" t="s">
        <v>119</v>
      </c>
      <c r="L77" s="11" t="s">
        <v>120</v>
      </c>
      <c r="M77" s="26" t="s">
        <v>119</v>
      </c>
      <c r="N77" s="11" t="s">
        <v>119</v>
      </c>
      <c r="O77" s="42"/>
      <c r="P77" s="11" t="str">
        <f>IF(COUNTIF(K77:N77,"Yes")&gt;0,"Yes",IF(COUNTIF(K77:N77,"Maybe")&gt;0,"Maybe","No"))</f>
        <v>Maybe</v>
      </c>
      <c r="Q77" s="42"/>
      <c r="R77" t="str">
        <f>IF(COUNTIF(L77:O77,"Yes")&gt;0,"Yes",IF(COUNTIF(L77:O77,"Maybe")&gt;1,"Maybe","No"))</f>
        <v>No</v>
      </c>
      <c r="S77" s="32" t="str">
        <f>IF(OR(P77="Yes", P77="Maybe"),B77,0)</f>
        <v>Smart Contracts</v>
      </c>
      <c r="T77" s="11">
        <f t="shared" si="21"/>
        <v>0</v>
      </c>
      <c r="U77" s="11">
        <f t="shared" si="22"/>
        <v>0.5</v>
      </c>
      <c r="V77" s="11">
        <f t="shared" si="23"/>
        <v>0</v>
      </c>
      <c r="W77" s="17">
        <f t="shared" si="24"/>
        <v>0</v>
      </c>
      <c r="X77" s="17">
        <f t="shared" si="25"/>
        <v>0.125</v>
      </c>
      <c r="Y77" s="17">
        <f t="shared" si="26"/>
        <v>0</v>
      </c>
    </row>
    <row r="78" spans="1:25" x14ac:dyDescent="0.35">
      <c r="A78" s="7">
        <v>12.3</v>
      </c>
      <c r="B78" s="53" t="s">
        <v>291</v>
      </c>
      <c r="C78" t="s">
        <v>292</v>
      </c>
      <c r="D78" t="s">
        <v>293</v>
      </c>
      <c r="E78" s="31" t="s">
        <v>284</v>
      </c>
      <c r="F78" s="11" t="str">
        <f>IFERROR(VLOOKUP(B78,'Categories List'!B$2:C$36,2,FALSE),"")</f>
        <v/>
      </c>
      <c r="G78" s="26" t="s">
        <v>119</v>
      </c>
      <c r="H78" s="26" t="s">
        <v>119</v>
      </c>
      <c r="I78" s="26" t="s">
        <v>119</v>
      </c>
      <c r="J78" s="82" t="s">
        <v>119</v>
      </c>
      <c r="K78" s="17" t="s">
        <v>119</v>
      </c>
      <c r="L78" s="11" t="s">
        <v>120</v>
      </c>
      <c r="M78" s="26" t="s">
        <v>119</v>
      </c>
      <c r="N78" s="11" t="s">
        <v>119</v>
      </c>
      <c r="O78" s="42"/>
      <c r="P78" s="11" t="str">
        <f>IF(COUNTIF(K78:N78,"Yes")&gt;0,"Yes",IF(COUNTIF(K78:N78,"Maybe")&gt;0,"Maybe","No"))</f>
        <v>Maybe</v>
      </c>
      <c r="Q78" s="42"/>
      <c r="R78" t="str">
        <f>IF(COUNTIF(L78:O78,"Yes")&gt;0,"Yes",IF(COUNTIF(L78:O78,"Maybe")&gt;1,"Maybe","No"))</f>
        <v>No</v>
      </c>
      <c r="S78" s="32" t="str">
        <f>IF(OR(P78="Yes", P78="Maybe"),B78,0)</f>
        <v>Decentralized Energy Marketplaces</v>
      </c>
      <c r="T78" s="11">
        <f t="shared" si="21"/>
        <v>0</v>
      </c>
      <c r="U78" s="11">
        <f t="shared" si="22"/>
        <v>0.5</v>
      </c>
      <c r="V78" s="11">
        <f t="shared" si="23"/>
        <v>0</v>
      </c>
      <c r="W78" s="17">
        <f t="shared" si="24"/>
        <v>0</v>
      </c>
      <c r="X78" s="17">
        <f t="shared" si="25"/>
        <v>0.125</v>
      </c>
      <c r="Y78" s="17">
        <f t="shared" si="26"/>
        <v>0</v>
      </c>
    </row>
    <row r="79" spans="1:25" x14ac:dyDescent="0.35">
      <c r="A79" s="7">
        <v>12.4</v>
      </c>
      <c r="B79" s="53" t="s">
        <v>294</v>
      </c>
      <c r="C79" t="s">
        <v>295</v>
      </c>
      <c r="D79" t="s">
        <v>296</v>
      </c>
      <c r="E79" s="31" t="s">
        <v>284</v>
      </c>
      <c r="F79" s="11" t="str">
        <f>IFERROR(VLOOKUP(B79,'Categories List'!B$2:C$36,2,FALSE),"")</f>
        <v/>
      </c>
      <c r="G79" s="27" t="s">
        <v>119</v>
      </c>
      <c r="H79" s="27" t="s">
        <v>119</v>
      </c>
      <c r="I79" s="27" t="s">
        <v>119</v>
      </c>
      <c r="J79" s="83" t="s">
        <v>119</v>
      </c>
      <c r="K79" s="20" t="s">
        <v>119</v>
      </c>
      <c r="L79" s="19" t="s">
        <v>120</v>
      </c>
      <c r="M79" s="27" t="s">
        <v>119</v>
      </c>
      <c r="N79" s="19" t="s">
        <v>119</v>
      </c>
      <c r="O79" s="42"/>
      <c r="P79" s="11" t="str">
        <f>IF(COUNTIF(K79:N79,"Yes")&gt;0,"Yes",IF(COUNTIF(K79:N79,"Maybe")&gt;0,"Maybe","No"))</f>
        <v>Maybe</v>
      </c>
      <c r="Q79" s="42"/>
      <c r="R79" t="str">
        <f>IF(COUNTIF(L79:O79,"Yes")&gt;0,"Yes",IF(COUNTIF(L79:O79,"Maybe")&gt;1,"Maybe","No"))</f>
        <v>No</v>
      </c>
      <c r="S79" s="32" t="str">
        <f>IF(OR(P79="Yes", P79="Maybe"),B79,0)</f>
        <v>Energy Token Trading Platforms</v>
      </c>
      <c r="T79" s="11">
        <f t="shared" si="21"/>
        <v>0</v>
      </c>
      <c r="U79" s="11">
        <f t="shared" si="22"/>
        <v>0.5</v>
      </c>
      <c r="V79" s="11">
        <f t="shared" si="23"/>
        <v>0</v>
      </c>
      <c r="W79" s="17">
        <f t="shared" si="24"/>
        <v>0</v>
      </c>
      <c r="X79" s="17">
        <f t="shared" si="25"/>
        <v>0.125</v>
      </c>
      <c r="Y79" s="17">
        <f t="shared" si="26"/>
        <v>0</v>
      </c>
    </row>
    <row r="80" spans="1:25" ht="16" x14ac:dyDescent="0.35">
      <c r="A80" s="62">
        <v>13</v>
      </c>
      <c r="B80" s="63" t="s">
        <v>72</v>
      </c>
      <c r="C80" s="56"/>
      <c r="D80" s="56"/>
      <c r="E80" s="65" t="s">
        <v>182</v>
      </c>
      <c r="F80" s="61" t="str">
        <f>IFERROR(VLOOKUP(B80,'Categories List'!B$2:C$36,2,FALSE),"")</f>
        <v>Priority 3</v>
      </c>
      <c r="G80" s="26"/>
      <c r="H80" s="26"/>
      <c r="I80" s="26"/>
      <c r="J80" s="82"/>
      <c r="K80" s="17"/>
      <c r="L80" s="11"/>
      <c r="M80" s="26"/>
      <c r="N80" s="11"/>
      <c r="O80" s="42"/>
      <c r="Q80" s="42"/>
      <c r="S80" s="32"/>
      <c r="T80" s="11">
        <f t="shared" si="21"/>
        <v>0</v>
      </c>
      <c r="U80" s="11">
        <f t="shared" si="22"/>
        <v>0</v>
      </c>
      <c r="V80" s="11">
        <f t="shared" si="23"/>
        <v>0</v>
      </c>
      <c r="W80" s="17">
        <f t="shared" si="24"/>
        <v>0</v>
      </c>
      <c r="X80" s="17">
        <f t="shared" si="25"/>
        <v>0</v>
      </c>
      <c r="Y80" s="17">
        <f t="shared" si="26"/>
        <v>0</v>
      </c>
    </row>
    <row r="81" spans="1:25" x14ac:dyDescent="0.35">
      <c r="A81" s="7">
        <v>13.1</v>
      </c>
      <c r="B81" s="53" t="s">
        <v>297</v>
      </c>
      <c r="C81" t="s">
        <v>298</v>
      </c>
      <c r="E81" s="31" t="s">
        <v>182</v>
      </c>
      <c r="F81" s="11" t="str">
        <f>IFERROR(VLOOKUP(B81,'Categories List'!B$2:C$36,2,FALSE),"")</f>
        <v/>
      </c>
      <c r="G81" s="88" t="s">
        <v>119</v>
      </c>
      <c r="H81" s="88" t="s">
        <v>119</v>
      </c>
      <c r="I81" s="88" t="s">
        <v>119</v>
      </c>
      <c r="J81" s="89" t="s">
        <v>119</v>
      </c>
      <c r="K81" s="90" t="s">
        <v>119</v>
      </c>
      <c r="L81" s="91" t="s">
        <v>118</v>
      </c>
      <c r="M81" s="88" t="s">
        <v>118</v>
      </c>
      <c r="N81" s="91" t="s">
        <v>120</v>
      </c>
      <c r="O81" s="42"/>
      <c r="P81" s="11" t="str">
        <f>IF(COUNTIF(K81:N81,"Yes")&gt;0,"Yes",IF(COUNTIF(K81:N81,"Maybe")&gt;0,"Maybe","No"))</f>
        <v>Yes</v>
      </c>
      <c r="Q81" s="42"/>
      <c r="R81" t="str">
        <f>IF(COUNTIF(L81:O81,"Yes")&gt;0,"Yes",IF(COUNTIF(L81:O81,"Maybe")&gt;1,"Maybe","No"))</f>
        <v>Yes</v>
      </c>
      <c r="S81" s="32" t="str">
        <f>IF(OR(P81="Yes", P81="Maybe"),B81,0)</f>
        <v>Surveys and Polls</v>
      </c>
      <c r="T81" s="11">
        <f t="shared" si="21"/>
        <v>0</v>
      </c>
      <c r="U81" s="11">
        <f t="shared" si="22"/>
        <v>1</v>
      </c>
      <c r="V81" s="11">
        <f t="shared" si="23"/>
        <v>1</v>
      </c>
      <c r="W81" s="17">
        <f t="shared" si="24"/>
        <v>0.5</v>
      </c>
      <c r="X81" s="17">
        <f t="shared" si="25"/>
        <v>0.625</v>
      </c>
      <c r="Y81" s="17">
        <f t="shared" si="26"/>
        <v>1</v>
      </c>
    </row>
    <row r="82" spans="1:25" x14ac:dyDescent="0.35">
      <c r="A82" s="7">
        <v>13.2</v>
      </c>
      <c r="B82" s="53" t="s">
        <v>299</v>
      </c>
      <c r="C82" t="s">
        <v>300</v>
      </c>
      <c r="E82" s="31" t="s">
        <v>182</v>
      </c>
      <c r="F82" s="11" t="str">
        <f>IFERROR(VLOOKUP(B82,'Categories List'!B$2:C$36,2,FALSE),"")</f>
        <v/>
      </c>
      <c r="G82" s="26" t="s">
        <v>119</v>
      </c>
      <c r="H82" s="26" t="s">
        <v>119</v>
      </c>
      <c r="I82" s="26" t="s">
        <v>119</v>
      </c>
      <c r="J82" s="82" t="s">
        <v>119</v>
      </c>
      <c r="K82" s="17" t="s">
        <v>119</v>
      </c>
      <c r="L82" s="11" t="s">
        <v>118</v>
      </c>
      <c r="M82" s="26" t="s">
        <v>119</v>
      </c>
      <c r="N82" s="11" t="s">
        <v>120</v>
      </c>
      <c r="O82" s="42"/>
      <c r="P82" s="11" t="str">
        <f>IF(COUNTIF(K82:N82,"Yes")&gt;0,"Yes",IF(COUNTIF(K82:N82,"Maybe")&gt;0,"Maybe","No"))</f>
        <v>Yes</v>
      </c>
      <c r="Q82" s="42"/>
      <c r="R82" t="str">
        <f>IF(COUNTIF(L82:O82,"Yes")&gt;0,"Yes",IF(COUNTIF(L82:O82,"Maybe")&gt;1,"Maybe","No"))</f>
        <v>Yes</v>
      </c>
      <c r="S82" s="32" t="str">
        <f>IF(OR(P82="Yes", P82="Maybe"),B82,0)</f>
        <v>Participatory Budgeting Tools</v>
      </c>
      <c r="T82" s="11">
        <f t="shared" si="21"/>
        <v>0</v>
      </c>
      <c r="U82" s="11">
        <f t="shared" si="22"/>
        <v>1</v>
      </c>
      <c r="V82" s="11">
        <f t="shared" si="23"/>
        <v>0</v>
      </c>
      <c r="W82" s="17">
        <f t="shared" si="24"/>
        <v>0.5</v>
      </c>
      <c r="X82" s="17">
        <f t="shared" si="25"/>
        <v>0.375</v>
      </c>
      <c r="Y82" s="17">
        <f t="shared" si="26"/>
        <v>0</v>
      </c>
    </row>
    <row r="83" spans="1:25" x14ac:dyDescent="0.35">
      <c r="A83" s="7">
        <v>13.3</v>
      </c>
      <c r="B83" s="53" t="s">
        <v>301</v>
      </c>
      <c r="C83" t="s">
        <v>302</v>
      </c>
      <c r="D83" t="s">
        <v>303</v>
      </c>
      <c r="E83" s="31" t="s">
        <v>182</v>
      </c>
      <c r="F83" s="11" t="str">
        <f>IFERROR(VLOOKUP(B83,'Categories List'!B$2:C$36,2,FALSE),"")</f>
        <v/>
      </c>
      <c r="G83" s="26" t="s">
        <v>119</v>
      </c>
      <c r="H83" s="26" t="s">
        <v>119</v>
      </c>
      <c r="I83" s="26" t="s">
        <v>119</v>
      </c>
      <c r="J83" s="82" t="s">
        <v>119</v>
      </c>
      <c r="K83" s="17" t="s">
        <v>119</v>
      </c>
      <c r="L83" s="11" t="s">
        <v>118</v>
      </c>
      <c r="M83" s="26" t="s">
        <v>120</v>
      </c>
      <c r="N83" s="11" t="s">
        <v>118</v>
      </c>
      <c r="O83" s="42"/>
      <c r="P83" s="11" t="str">
        <f>IF(COUNTIF(K83:N83,"Yes")&gt;0,"Yes",IF(COUNTIF(K83:N83,"Maybe")&gt;0,"Maybe","No"))</f>
        <v>Yes</v>
      </c>
      <c r="Q83" s="42"/>
      <c r="R83" t="str">
        <f>IF(COUNTIF(L83:O83,"Yes")&gt;0,"Yes",IF(COUNTIF(L83:O83,"Maybe")&gt;1,"Maybe","No"))</f>
        <v>Yes</v>
      </c>
      <c r="S83" s="32" t="str">
        <f>IF(OR(P83="Yes", P83="Maybe"),B83,0)</f>
        <v>Gamification Platforms</v>
      </c>
      <c r="T83" s="11">
        <f t="shared" si="21"/>
        <v>0</v>
      </c>
      <c r="U83" s="11">
        <f t="shared" si="22"/>
        <v>1</v>
      </c>
      <c r="V83" s="11">
        <f t="shared" si="23"/>
        <v>0.5</v>
      </c>
      <c r="W83" s="17">
        <f t="shared" si="24"/>
        <v>1</v>
      </c>
      <c r="X83" s="17">
        <f t="shared" si="25"/>
        <v>0.625</v>
      </c>
      <c r="Y83" s="17">
        <f t="shared" si="26"/>
        <v>1</v>
      </c>
    </row>
    <row r="84" spans="1:25" x14ac:dyDescent="0.35">
      <c r="A84" s="7">
        <v>13.4</v>
      </c>
      <c r="B84" s="53" t="s">
        <v>304</v>
      </c>
      <c r="C84" t="s">
        <v>305</v>
      </c>
      <c r="E84" s="31" t="s">
        <v>182</v>
      </c>
      <c r="F84" s="11" t="str">
        <f>IFERROR(VLOOKUP(B84,'Categories List'!B$2:C$36,2,FALSE),"")</f>
        <v/>
      </c>
      <c r="G84" s="26" t="s">
        <v>119</v>
      </c>
      <c r="H84" s="26" t="s">
        <v>119</v>
      </c>
      <c r="I84" s="26" t="s">
        <v>119</v>
      </c>
      <c r="J84" s="82" t="s">
        <v>119</v>
      </c>
      <c r="K84" s="17" t="s">
        <v>119</v>
      </c>
      <c r="L84" s="11" t="s">
        <v>118</v>
      </c>
      <c r="M84" s="26" t="s">
        <v>119</v>
      </c>
      <c r="N84" s="11" t="s">
        <v>120</v>
      </c>
      <c r="O84" s="42"/>
      <c r="P84" s="11" t="str">
        <f>IF(COUNTIF(K84:N84,"Yes")&gt;0,"Yes",IF(COUNTIF(K84:N84,"Maybe")&gt;0,"Maybe","No"))</f>
        <v>Yes</v>
      </c>
      <c r="Q84" s="42"/>
      <c r="R84" t="str">
        <f>IF(COUNTIF(L84:O84,"Yes")&gt;0,"Yes",IF(COUNTIF(L84:O84,"Maybe")&gt;1,"Maybe","No"))</f>
        <v>Yes</v>
      </c>
      <c r="S84" s="32" t="str">
        <f>IF(OR(P84="Yes", P84="Maybe"),B84,0)</f>
        <v>Crowdsourcing Platforms for Energy Projects</v>
      </c>
      <c r="T84" s="11">
        <f t="shared" si="21"/>
        <v>0</v>
      </c>
      <c r="U84" s="11">
        <f t="shared" si="22"/>
        <v>1</v>
      </c>
      <c r="V84" s="11">
        <f t="shared" si="23"/>
        <v>0</v>
      </c>
      <c r="W84" s="17">
        <f t="shared" si="24"/>
        <v>0.5</v>
      </c>
      <c r="X84" s="17">
        <f t="shared" si="25"/>
        <v>0.375</v>
      </c>
      <c r="Y84" s="17">
        <f t="shared" si="26"/>
        <v>0</v>
      </c>
    </row>
    <row r="85" spans="1:25" x14ac:dyDescent="0.35">
      <c r="A85" s="7">
        <v>13.5</v>
      </c>
      <c r="B85" s="53" t="s">
        <v>306</v>
      </c>
      <c r="C85" t="s">
        <v>307</v>
      </c>
      <c r="D85" t="s">
        <v>308</v>
      </c>
      <c r="E85" s="31" t="s">
        <v>182</v>
      </c>
      <c r="F85" s="11" t="str">
        <f>IFERROR(VLOOKUP(B85,'Categories List'!B$2:C$36,2,FALSE),"")</f>
        <v/>
      </c>
      <c r="G85" s="27" t="s">
        <v>119</v>
      </c>
      <c r="H85" s="27" t="s">
        <v>119</v>
      </c>
      <c r="I85" s="27" t="s">
        <v>119</v>
      </c>
      <c r="J85" s="83" t="s">
        <v>119</v>
      </c>
      <c r="K85" s="20" t="s">
        <v>119</v>
      </c>
      <c r="L85" s="19" t="s">
        <v>118</v>
      </c>
      <c r="M85" s="27" t="s">
        <v>119</v>
      </c>
      <c r="N85" s="19" t="s">
        <v>120</v>
      </c>
      <c r="O85" s="42"/>
      <c r="P85" s="11" t="str">
        <f>IF(COUNTIF(K85:N85,"Yes")&gt;0,"Yes",IF(COUNTIF(K85:N85,"Maybe")&gt;0,"Maybe","No"))</f>
        <v>Yes</v>
      </c>
      <c r="Q85" s="42"/>
      <c r="R85" t="str">
        <f>IF(COUNTIF(L85:O85,"Yes")&gt;0,"Yes",IF(COUNTIF(L85:O85,"Maybe")&gt;1,"Maybe","No"))</f>
        <v>Yes</v>
      </c>
      <c r="S85" s="32" t="str">
        <f>IF(OR(P85="Yes", P85="Maybe"),B85,0)</f>
        <v>Social Network Analysis Tools</v>
      </c>
      <c r="T85" s="11">
        <f t="shared" si="21"/>
        <v>0</v>
      </c>
      <c r="U85" s="11">
        <f t="shared" si="22"/>
        <v>1</v>
      </c>
      <c r="V85" s="11">
        <f t="shared" si="23"/>
        <v>0</v>
      </c>
      <c r="W85" s="17">
        <f t="shared" si="24"/>
        <v>0.5</v>
      </c>
      <c r="X85" s="17">
        <f t="shared" si="25"/>
        <v>0.375</v>
      </c>
      <c r="Y85" s="17">
        <f t="shared" si="26"/>
        <v>0</v>
      </c>
    </row>
    <row r="86" spans="1:25" ht="16" x14ac:dyDescent="0.35">
      <c r="A86" s="62">
        <v>14</v>
      </c>
      <c r="B86" s="63" t="s">
        <v>73</v>
      </c>
      <c r="C86" s="56"/>
      <c r="D86" s="56"/>
      <c r="E86" s="65" t="s">
        <v>233</v>
      </c>
      <c r="F86" s="61" t="str">
        <f>IFERROR(VLOOKUP(B86,'Categories List'!B$2:C$36,2,FALSE),"")</f>
        <v>Priority 3</v>
      </c>
      <c r="G86" s="26"/>
      <c r="H86" s="26"/>
      <c r="I86" s="26"/>
      <c r="J86" s="82"/>
      <c r="K86" s="17"/>
      <c r="L86" s="11"/>
      <c r="M86" s="26"/>
      <c r="N86" s="11"/>
      <c r="O86" s="42"/>
      <c r="Q86" s="42"/>
      <c r="S86" s="32"/>
      <c r="T86" s="11">
        <f t="shared" si="21"/>
        <v>0</v>
      </c>
      <c r="U86" s="11">
        <f t="shared" si="22"/>
        <v>0</v>
      </c>
      <c r="V86" s="11">
        <f t="shared" si="23"/>
        <v>0</v>
      </c>
      <c r="W86" s="17">
        <f t="shared" si="24"/>
        <v>0</v>
      </c>
      <c r="X86" s="17">
        <f t="shared" si="25"/>
        <v>0</v>
      </c>
      <c r="Y86" s="17">
        <f t="shared" si="26"/>
        <v>0</v>
      </c>
    </row>
    <row r="87" spans="1:25" x14ac:dyDescent="0.35">
      <c r="A87" s="7">
        <v>14.1</v>
      </c>
      <c r="B87" s="53" t="s">
        <v>309</v>
      </c>
      <c r="C87" t="s">
        <v>310</v>
      </c>
      <c r="D87" t="s">
        <v>311</v>
      </c>
      <c r="E87" s="31" t="s">
        <v>233</v>
      </c>
      <c r="F87" s="11" t="str">
        <f>IFERROR(VLOOKUP(B87,'Categories List'!B$2:C$36,2,FALSE),"")</f>
        <v/>
      </c>
      <c r="G87" s="88" t="s">
        <v>119</v>
      </c>
      <c r="H87" s="88" t="s">
        <v>119</v>
      </c>
      <c r="I87" s="88" t="s">
        <v>119</v>
      </c>
      <c r="J87" s="89" t="s">
        <v>119</v>
      </c>
      <c r="K87" s="90" t="s">
        <v>119</v>
      </c>
      <c r="L87" s="91" t="s">
        <v>119</v>
      </c>
      <c r="M87" s="88" t="s">
        <v>119</v>
      </c>
      <c r="N87" s="91" t="s">
        <v>119</v>
      </c>
      <c r="O87" s="42"/>
      <c r="P87" s="11" t="str">
        <f>IF(COUNTIF(K87:N87,"Yes")&gt;0,"Yes",IF(COUNTIF(K87:N87,"Maybe")&gt;0,"Maybe","No"))</f>
        <v>No</v>
      </c>
      <c r="Q87" s="42"/>
      <c r="R87" t="str">
        <f>IF(COUNTIF(L87:O87,"Yes")&gt;0,"Yes",IF(COUNTIF(L87:O87,"Maybe")&gt;1,"Maybe","No"))</f>
        <v>No</v>
      </c>
      <c r="S87" s="32"/>
      <c r="T87" s="11">
        <f t="shared" si="21"/>
        <v>0</v>
      </c>
      <c r="U87" s="11">
        <f t="shared" si="22"/>
        <v>0</v>
      </c>
      <c r="V87" s="11">
        <f t="shared" si="23"/>
        <v>0</v>
      </c>
      <c r="W87" s="17">
        <f t="shared" si="24"/>
        <v>0</v>
      </c>
      <c r="X87" s="17">
        <f t="shared" si="25"/>
        <v>0</v>
      </c>
      <c r="Y87" s="17">
        <f t="shared" si="26"/>
        <v>0</v>
      </c>
    </row>
    <row r="88" spans="1:25" x14ac:dyDescent="0.35">
      <c r="A88" s="7">
        <v>14.2</v>
      </c>
      <c r="B88" s="53" t="s">
        <v>312</v>
      </c>
      <c r="C88" t="s">
        <v>313</v>
      </c>
      <c r="E88" s="31" t="s">
        <v>233</v>
      </c>
      <c r="F88" s="11" t="str">
        <f>IFERROR(VLOOKUP(B88,'Categories List'!B$2:C$36,2,FALSE),"")</f>
        <v/>
      </c>
      <c r="G88" s="26" t="s">
        <v>120</v>
      </c>
      <c r="H88" s="26" t="s">
        <v>119</v>
      </c>
      <c r="I88" s="26" t="s">
        <v>119</v>
      </c>
      <c r="J88" s="82" t="s">
        <v>119</v>
      </c>
      <c r="K88" s="17" t="s">
        <v>119</v>
      </c>
      <c r="L88" s="11" t="s">
        <v>119</v>
      </c>
      <c r="M88" s="26" t="s">
        <v>119</v>
      </c>
      <c r="N88" s="11" t="s">
        <v>119</v>
      </c>
      <c r="O88" s="42"/>
      <c r="P88" s="11" t="str">
        <f>IF(COUNTIF(K88:N88,"Yes")&gt;0,"Yes",IF(COUNTIF(K88:N88,"Maybe")&gt;0,"Maybe","No"))</f>
        <v>No</v>
      </c>
      <c r="Q88" s="42"/>
      <c r="R88" t="str">
        <f>IF(COUNTIF(L88:O88,"Yes")&gt;0,"Yes",IF(COUNTIF(L88:O88,"Maybe")&gt;1,"Maybe","No"))</f>
        <v>No</v>
      </c>
      <c r="S88" s="32"/>
      <c r="T88" s="11">
        <f t="shared" si="21"/>
        <v>0</v>
      </c>
      <c r="U88" s="11">
        <f t="shared" si="22"/>
        <v>0</v>
      </c>
      <c r="V88" s="11">
        <f t="shared" si="23"/>
        <v>0</v>
      </c>
      <c r="W88" s="17">
        <f t="shared" si="24"/>
        <v>0</v>
      </c>
      <c r="X88" s="17">
        <f t="shared" si="25"/>
        <v>0</v>
      </c>
      <c r="Y88" s="17">
        <f t="shared" si="26"/>
        <v>0</v>
      </c>
    </row>
    <row r="89" spans="1:25" x14ac:dyDescent="0.35">
      <c r="A89" s="7">
        <v>14.3</v>
      </c>
      <c r="B89" s="53" t="s">
        <v>314</v>
      </c>
      <c r="C89" t="s">
        <v>315</v>
      </c>
      <c r="E89" s="31" t="s">
        <v>233</v>
      </c>
      <c r="F89" s="11" t="str">
        <f>IFERROR(VLOOKUP(B89,'Categories List'!B$2:C$36,2,FALSE),"")</f>
        <v/>
      </c>
      <c r="G89" s="26" t="s">
        <v>119</v>
      </c>
      <c r="H89" s="26" t="s">
        <v>119</v>
      </c>
      <c r="I89" s="26" t="s">
        <v>119</v>
      </c>
      <c r="J89" s="82" t="s">
        <v>119</v>
      </c>
      <c r="K89" s="17" t="s">
        <v>119</v>
      </c>
      <c r="L89" s="11" t="s">
        <v>119</v>
      </c>
      <c r="M89" s="26" t="s">
        <v>119</v>
      </c>
      <c r="N89" s="11" t="s">
        <v>119</v>
      </c>
      <c r="O89" s="42"/>
      <c r="P89" s="11" t="str">
        <f>IF(COUNTIF(K89:N89,"Yes")&gt;0,"Yes",IF(COUNTIF(K89:N89,"Maybe")&gt;0,"Maybe","No"))</f>
        <v>No</v>
      </c>
      <c r="Q89" s="42"/>
      <c r="R89" t="str">
        <f>IF(COUNTIF(L89:O89,"Yes")&gt;0,"Yes",IF(COUNTIF(L89:O89,"Maybe")&gt;1,"Maybe","No"))</f>
        <v>No</v>
      </c>
      <c r="S89" s="32"/>
      <c r="T89" s="11">
        <f t="shared" si="21"/>
        <v>0</v>
      </c>
      <c r="U89" s="11">
        <f t="shared" si="22"/>
        <v>0</v>
      </c>
      <c r="V89" s="11">
        <f t="shared" si="23"/>
        <v>0</v>
      </c>
      <c r="W89" s="17">
        <f t="shared" si="24"/>
        <v>0</v>
      </c>
      <c r="X89" s="17">
        <f t="shared" si="25"/>
        <v>0</v>
      </c>
      <c r="Y89" s="17">
        <f t="shared" si="26"/>
        <v>0</v>
      </c>
    </row>
    <row r="90" spans="1:25" x14ac:dyDescent="0.35">
      <c r="A90" s="7">
        <v>14.4</v>
      </c>
      <c r="B90" s="53" t="s">
        <v>316</v>
      </c>
      <c r="C90" t="s">
        <v>317</v>
      </c>
      <c r="D90" t="s">
        <v>318</v>
      </c>
      <c r="E90" s="31" t="s">
        <v>233</v>
      </c>
      <c r="F90" s="11" t="str">
        <f>IFERROR(VLOOKUP(B90,'Categories List'!B$2:C$36,2,FALSE),"")</f>
        <v/>
      </c>
      <c r="G90" s="26" t="s">
        <v>119</v>
      </c>
      <c r="H90" s="26" t="s">
        <v>119</v>
      </c>
      <c r="I90" s="26" t="s">
        <v>119</v>
      </c>
      <c r="J90" s="82" t="s">
        <v>119</v>
      </c>
      <c r="K90" s="17" t="s">
        <v>119</v>
      </c>
      <c r="L90" s="11" t="s">
        <v>119</v>
      </c>
      <c r="M90" s="26" t="s">
        <v>119</v>
      </c>
      <c r="N90" s="11" t="s">
        <v>119</v>
      </c>
      <c r="O90" s="42"/>
      <c r="P90" s="11" t="str">
        <f>IF(COUNTIF(K90:N90,"Yes")&gt;0,"Yes",IF(COUNTIF(K90:N90,"Maybe")&gt;0,"Maybe","No"))</f>
        <v>No</v>
      </c>
      <c r="Q90" s="42"/>
      <c r="R90" t="str">
        <f>IF(COUNTIF(L90:O90,"Yes")&gt;0,"Yes",IF(COUNTIF(L90:O90,"Maybe")&gt;1,"Maybe","No"))</f>
        <v>No</v>
      </c>
      <c r="S90" s="32"/>
      <c r="T90" s="11">
        <f t="shared" si="21"/>
        <v>0</v>
      </c>
      <c r="U90" s="11">
        <f t="shared" si="22"/>
        <v>0</v>
      </c>
      <c r="V90" s="11">
        <f t="shared" si="23"/>
        <v>0</v>
      </c>
      <c r="W90" s="17">
        <f t="shared" si="24"/>
        <v>0</v>
      </c>
      <c r="X90" s="17">
        <f t="shared" si="25"/>
        <v>0</v>
      </c>
      <c r="Y90" s="17">
        <f t="shared" si="26"/>
        <v>0</v>
      </c>
    </row>
    <row r="91" spans="1:25" x14ac:dyDescent="0.35">
      <c r="A91" s="7">
        <v>14.5</v>
      </c>
      <c r="B91" s="53" t="s">
        <v>319</v>
      </c>
      <c r="C91" t="s">
        <v>320</v>
      </c>
      <c r="E91" s="31" t="s">
        <v>233</v>
      </c>
      <c r="F91" s="11" t="str">
        <f>IFERROR(VLOOKUP(B91,'Categories List'!B$2:C$36,2,FALSE),"")</f>
        <v/>
      </c>
      <c r="G91" s="27" t="s">
        <v>120</v>
      </c>
      <c r="H91" s="27" t="s">
        <v>119</v>
      </c>
      <c r="I91" s="27" t="s">
        <v>119</v>
      </c>
      <c r="J91" s="83" t="s">
        <v>119</v>
      </c>
      <c r="K91" s="20" t="s">
        <v>119</v>
      </c>
      <c r="L91" s="19" t="s">
        <v>119</v>
      </c>
      <c r="M91" s="27" t="s">
        <v>119</v>
      </c>
      <c r="N91" s="19" t="s">
        <v>119</v>
      </c>
      <c r="O91" s="42"/>
      <c r="P91" s="11" t="str">
        <f>IF(COUNTIF(K91:N91,"Yes")&gt;0,"Yes",IF(COUNTIF(K91:N91,"Maybe")&gt;0,"Maybe","No"))</f>
        <v>No</v>
      </c>
      <c r="Q91" s="42"/>
      <c r="R91" t="str">
        <f>IF(COUNTIF(L91:O91,"Yes")&gt;0,"Yes",IF(COUNTIF(L91:O91,"Maybe")&gt;1,"Maybe","No"))</f>
        <v>No</v>
      </c>
      <c r="S91" s="32"/>
      <c r="T91" s="11">
        <f t="shared" si="21"/>
        <v>0</v>
      </c>
      <c r="U91" s="11">
        <f t="shared" si="22"/>
        <v>0</v>
      </c>
      <c r="V91" s="11">
        <f t="shared" si="23"/>
        <v>0</v>
      </c>
      <c r="W91" s="17">
        <f t="shared" si="24"/>
        <v>0</v>
      </c>
      <c r="X91" s="17">
        <f t="shared" si="25"/>
        <v>0</v>
      </c>
      <c r="Y91" s="17">
        <f t="shared" si="26"/>
        <v>0</v>
      </c>
    </row>
    <row r="92" spans="1:25" ht="16" x14ac:dyDescent="0.35">
      <c r="A92" s="62">
        <v>15</v>
      </c>
      <c r="B92" s="63" t="s">
        <v>74</v>
      </c>
      <c r="C92" s="56"/>
      <c r="D92" s="56"/>
      <c r="E92" s="65" t="s">
        <v>219</v>
      </c>
      <c r="F92" s="55" t="str">
        <f>IFERROR(VLOOKUP(B92,'Categories List'!B$2:C$36,2,FALSE),"")</f>
        <v>Priority 1</v>
      </c>
      <c r="G92" s="26"/>
      <c r="H92" s="26"/>
      <c r="I92" s="26"/>
      <c r="J92" s="82"/>
      <c r="K92" s="17"/>
      <c r="L92" s="11"/>
      <c r="M92" s="26"/>
      <c r="N92" s="11"/>
      <c r="O92" s="42"/>
      <c r="Q92" s="42"/>
      <c r="S92" s="32"/>
      <c r="T92" s="11">
        <f t="shared" si="21"/>
        <v>0</v>
      </c>
      <c r="U92" s="11">
        <f t="shared" si="22"/>
        <v>0</v>
      </c>
      <c r="V92" s="11">
        <f t="shared" si="23"/>
        <v>0</v>
      </c>
      <c r="W92" s="17">
        <f t="shared" si="24"/>
        <v>0</v>
      </c>
      <c r="X92" s="17">
        <f t="shared" si="25"/>
        <v>0</v>
      </c>
      <c r="Y92" s="17">
        <f t="shared" si="26"/>
        <v>0</v>
      </c>
    </row>
    <row r="93" spans="1:25" x14ac:dyDescent="0.35">
      <c r="A93" s="7">
        <v>15.1</v>
      </c>
      <c r="B93" s="53" t="s">
        <v>321</v>
      </c>
      <c r="C93" t="s">
        <v>322</v>
      </c>
      <c r="D93" t="s">
        <v>323</v>
      </c>
      <c r="E93" s="31" t="s">
        <v>219</v>
      </c>
      <c r="F93" s="11" t="str">
        <f>IFERROR(VLOOKUP(B93,'Categories List'!B$2:C$36,2,FALSE),"")</f>
        <v/>
      </c>
      <c r="G93" s="88" t="s">
        <v>119</v>
      </c>
      <c r="H93" s="88" t="s">
        <v>119</v>
      </c>
      <c r="I93" s="88" t="s">
        <v>119</v>
      </c>
      <c r="J93" s="89" t="s">
        <v>119</v>
      </c>
      <c r="K93" s="90" t="s">
        <v>119</v>
      </c>
      <c r="L93" s="91" t="s">
        <v>119</v>
      </c>
      <c r="M93" s="88" t="s">
        <v>119</v>
      </c>
      <c r="N93" s="91" t="s">
        <v>119</v>
      </c>
      <c r="O93" s="42"/>
      <c r="P93" s="11" t="str">
        <f>IF(COUNTIF(K93:N93,"Yes")&gt;0,"Yes",IF(COUNTIF(K93:N93,"Maybe")&gt;0,"Maybe","No"))</f>
        <v>No</v>
      </c>
      <c r="Q93" s="42"/>
      <c r="R93" t="str">
        <f>IF(COUNTIF(L93:O93,"Yes")&gt;0,"Yes",IF(COUNTIF(L93:O93,"Maybe")&gt;1,"Maybe","No"))</f>
        <v>No</v>
      </c>
      <c r="S93" s="32"/>
      <c r="T93" s="11">
        <f t="shared" si="21"/>
        <v>0</v>
      </c>
      <c r="U93" s="11">
        <f t="shared" si="22"/>
        <v>0</v>
      </c>
      <c r="V93" s="11">
        <f t="shared" si="23"/>
        <v>0</v>
      </c>
      <c r="W93" s="17">
        <f t="shared" si="24"/>
        <v>0</v>
      </c>
      <c r="X93" s="17">
        <f t="shared" si="25"/>
        <v>0</v>
      </c>
      <c r="Y93" s="17">
        <f t="shared" si="26"/>
        <v>0</v>
      </c>
    </row>
    <row r="94" spans="1:25" x14ac:dyDescent="0.35">
      <c r="A94" s="7">
        <v>15.2</v>
      </c>
      <c r="B94" s="53" t="s">
        <v>324</v>
      </c>
      <c r="C94" t="s">
        <v>325</v>
      </c>
      <c r="E94" s="31" t="s">
        <v>219</v>
      </c>
      <c r="F94" s="11" t="str">
        <f>IFERROR(VLOOKUP(B94,'Categories List'!B$2:C$36,2,FALSE),"")</f>
        <v/>
      </c>
      <c r="G94" s="26" t="s">
        <v>119</v>
      </c>
      <c r="H94" s="26" t="s">
        <v>119</v>
      </c>
      <c r="I94" s="26" t="s">
        <v>119</v>
      </c>
      <c r="J94" s="82" t="s">
        <v>119</v>
      </c>
      <c r="K94" s="17" t="s">
        <v>119</v>
      </c>
      <c r="L94" s="11" t="s">
        <v>120</v>
      </c>
      <c r="M94" s="26" t="s">
        <v>119</v>
      </c>
      <c r="N94" s="11" t="s">
        <v>119</v>
      </c>
      <c r="O94" s="42"/>
      <c r="P94" s="11" t="str">
        <f>IF(COUNTIF(K94:N94,"Yes")&gt;0,"Yes",IF(COUNTIF(K94:N94,"Maybe")&gt;0,"Maybe","No"))</f>
        <v>Maybe</v>
      </c>
      <c r="Q94" s="42"/>
      <c r="R94" t="str">
        <f>IF(COUNTIF(L94:O94,"Yes")&gt;0,"Yes",IF(COUNTIF(L94:O94,"Maybe")&gt;1,"Maybe","No"))</f>
        <v>No</v>
      </c>
      <c r="S94" s="32" t="str">
        <f>IF(OR(P94="Yes", P94="Maybe"),B94,0)</f>
        <v>GIS (Geographic Information Systems)</v>
      </c>
      <c r="T94" s="11">
        <f t="shared" si="21"/>
        <v>0</v>
      </c>
      <c r="U94" s="11">
        <f t="shared" si="22"/>
        <v>0.5</v>
      </c>
      <c r="V94" s="11">
        <f t="shared" si="23"/>
        <v>0</v>
      </c>
      <c r="W94" s="17">
        <f t="shared" si="24"/>
        <v>0</v>
      </c>
      <c r="X94" s="17">
        <f t="shared" si="25"/>
        <v>0.125</v>
      </c>
      <c r="Y94" s="17">
        <f t="shared" si="26"/>
        <v>0</v>
      </c>
    </row>
    <row r="95" spans="1:25" x14ac:dyDescent="0.35">
      <c r="A95" s="7">
        <v>15.3</v>
      </c>
      <c r="B95" s="53" t="s">
        <v>326</v>
      </c>
      <c r="C95" t="s">
        <v>327</v>
      </c>
      <c r="D95" t="s">
        <v>328</v>
      </c>
      <c r="E95" s="31" t="s">
        <v>219</v>
      </c>
      <c r="F95" s="11" t="str">
        <f>IFERROR(VLOOKUP(B95,'Categories List'!B$2:C$36,2,FALSE),"")</f>
        <v/>
      </c>
      <c r="G95" s="26" t="s">
        <v>119</v>
      </c>
      <c r="H95" s="26" t="s">
        <v>119</v>
      </c>
      <c r="I95" s="26" t="s">
        <v>119</v>
      </c>
      <c r="J95" s="82" t="s">
        <v>118</v>
      </c>
      <c r="K95" s="17" t="s">
        <v>119</v>
      </c>
      <c r="L95" s="11" t="s">
        <v>118</v>
      </c>
      <c r="M95" s="26" t="s">
        <v>118</v>
      </c>
      <c r="N95" s="11" t="s">
        <v>118</v>
      </c>
      <c r="O95" s="42"/>
      <c r="P95" s="11" t="str">
        <f>IF(COUNTIF(K95:N95,"Yes")&gt;0,"Yes",IF(COUNTIF(K95:N95,"Maybe")&gt;0,"Maybe","No"))</f>
        <v>Yes</v>
      </c>
      <c r="Q95" s="42"/>
      <c r="R95" t="str">
        <f>IF(COUNTIF(L95:O95,"Yes")&gt;0,"Yes",IF(COUNTIF(L95:O95,"Maybe")&gt;1,"Maybe","No"))</f>
        <v>Yes</v>
      </c>
      <c r="S95" s="32" t="str">
        <f>IF(OR(P95="Yes", P95="Maybe"),B95,0)</f>
        <v>Energy Dashboards</v>
      </c>
      <c r="T95" s="11">
        <f t="shared" si="21"/>
        <v>0</v>
      </c>
      <c r="U95" s="11">
        <f t="shared" si="22"/>
        <v>1</v>
      </c>
      <c r="V95" s="11">
        <f t="shared" si="23"/>
        <v>1</v>
      </c>
      <c r="W95" s="17">
        <f t="shared" si="24"/>
        <v>1</v>
      </c>
      <c r="X95" s="17">
        <f t="shared" si="25"/>
        <v>0.75</v>
      </c>
      <c r="Y95" s="17">
        <f t="shared" si="26"/>
        <v>1</v>
      </c>
    </row>
    <row r="96" spans="1:25" x14ac:dyDescent="0.35">
      <c r="A96" s="7">
        <v>15.4</v>
      </c>
      <c r="B96" s="53" t="s">
        <v>329</v>
      </c>
      <c r="C96" t="s">
        <v>330</v>
      </c>
      <c r="D96" t="s">
        <v>331</v>
      </c>
      <c r="E96" s="31" t="s">
        <v>219</v>
      </c>
      <c r="F96" s="11" t="str">
        <f>IFERROR(VLOOKUP(B96,'Categories List'!B$2:C$36,2,FALSE),"")</f>
        <v/>
      </c>
      <c r="G96" s="26" t="s">
        <v>118</v>
      </c>
      <c r="H96" s="26" t="s">
        <v>119</v>
      </c>
      <c r="I96" s="26" t="s">
        <v>119</v>
      </c>
      <c r="J96" s="82" t="s">
        <v>120</v>
      </c>
      <c r="K96" s="17" t="s">
        <v>120</v>
      </c>
      <c r="L96" s="11" t="s">
        <v>118</v>
      </c>
      <c r="M96" s="26" t="s">
        <v>118</v>
      </c>
      <c r="N96" s="11" t="s">
        <v>120</v>
      </c>
      <c r="O96" s="42"/>
      <c r="P96" s="11" t="str">
        <f>IF(COUNTIF(K96:N96,"Yes")&gt;0,"Yes",IF(COUNTIF(K96:N96,"Maybe")&gt;0,"Maybe","No"))</f>
        <v>Yes</v>
      </c>
      <c r="Q96" s="42"/>
      <c r="R96" t="str">
        <f>IF(COUNTIF(L96:O96,"Yes")&gt;0,"Yes",IF(COUNTIF(L96:O96,"Maybe")&gt;1,"Maybe","No"))</f>
        <v>Yes</v>
      </c>
      <c r="S96" s="32" t="str">
        <f>IF(OR(P96="Yes", P96="Maybe"),B96,0)</f>
        <v>Data Visualization Tools (e.g., Tableau, Grafana)</v>
      </c>
      <c r="T96" s="11">
        <f t="shared" si="21"/>
        <v>0.5</v>
      </c>
      <c r="U96" s="11">
        <f t="shared" si="22"/>
        <v>1</v>
      </c>
      <c r="V96" s="11">
        <f t="shared" si="23"/>
        <v>1</v>
      </c>
      <c r="W96" s="17">
        <f t="shared" si="24"/>
        <v>0.5</v>
      </c>
      <c r="X96" s="17">
        <f t="shared" si="25"/>
        <v>0.75</v>
      </c>
      <c r="Y96" s="17">
        <f t="shared" si="26"/>
        <v>1</v>
      </c>
    </row>
    <row r="97" spans="1:25" x14ac:dyDescent="0.35">
      <c r="A97" s="7">
        <v>15.5</v>
      </c>
      <c r="B97" s="53" t="s">
        <v>332</v>
      </c>
      <c r="C97" t="s">
        <v>333</v>
      </c>
      <c r="D97" t="s">
        <v>334</v>
      </c>
      <c r="E97" s="31" t="s">
        <v>219</v>
      </c>
      <c r="F97" s="11" t="str">
        <f>IFERROR(VLOOKUP(B97,'Categories List'!B$2:C$36,2,FALSE),"")</f>
        <v/>
      </c>
      <c r="G97" s="27" t="s">
        <v>119</v>
      </c>
      <c r="H97" s="27" t="s">
        <v>119</v>
      </c>
      <c r="I97" s="27" t="s">
        <v>119</v>
      </c>
      <c r="J97" s="83" t="s">
        <v>119</v>
      </c>
      <c r="K97" s="20" t="s">
        <v>119</v>
      </c>
      <c r="L97" s="19" t="s">
        <v>119</v>
      </c>
      <c r="M97" s="27" t="s">
        <v>119</v>
      </c>
      <c r="N97" s="19" t="s">
        <v>119</v>
      </c>
      <c r="O97" s="42"/>
      <c r="P97" s="11" t="str">
        <f>IF(COUNTIF(K97:N97,"Yes")&gt;0,"Yes",IF(COUNTIF(K97:N97,"Maybe")&gt;0,"Maybe","No"))</f>
        <v>No</v>
      </c>
      <c r="Q97" s="42"/>
      <c r="R97" t="str">
        <f>IF(COUNTIF(L97:O97,"Yes")&gt;0,"Yes",IF(COUNTIF(L97:O97,"Maybe")&gt;1,"Maybe","No"))</f>
        <v>No</v>
      </c>
      <c r="S97" s="32"/>
      <c r="T97" s="11">
        <f t="shared" si="21"/>
        <v>0</v>
      </c>
      <c r="U97" s="11">
        <f t="shared" si="22"/>
        <v>0</v>
      </c>
      <c r="V97" s="11">
        <f t="shared" si="23"/>
        <v>0</v>
      </c>
      <c r="W97" s="17">
        <f t="shared" si="24"/>
        <v>0</v>
      </c>
      <c r="X97" s="17">
        <f t="shared" si="25"/>
        <v>0</v>
      </c>
      <c r="Y97" s="17">
        <f t="shared" si="26"/>
        <v>0</v>
      </c>
    </row>
    <row r="98" spans="1:25" ht="16" x14ac:dyDescent="0.35">
      <c r="A98" s="62">
        <v>16</v>
      </c>
      <c r="B98" s="63" t="s">
        <v>75</v>
      </c>
      <c r="C98" s="56"/>
      <c r="D98" s="56"/>
      <c r="E98" s="65" t="s">
        <v>191</v>
      </c>
      <c r="F98" s="59" t="str">
        <f>IFERROR(VLOOKUP(B98,'Categories List'!B$2:C$36,2,FALSE),"")</f>
        <v>Priority 3</v>
      </c>
      <c r="G98" s="26"/>
      <c r="H98" s="26"/>
      <c r="I98" s="26"/>
      <c r="J98" s="82"/>
      <c r="K98" s="17"/>
      <c r="L98" s="11"/>
      <c r="M98" s="26"/>
      <c r="N98" s="11"/>
      <c r="O98" s="42"/>
      <c r="Q98" s="42"/>
      <c r="S98" s="32"/>
      <c r="T98" s="11">
        <f t="shared" si="21"/>
        <v>0</v>
      </c>
      <c r="U98" s="11">
        <f t="shared" si="22"/>
        <v>0</v>
      </c>
      <c r="V98" s="11">
        <f t="shared" si="23"/>
        <v>0</v>
      </c>
      <c r="W98" s="17">
        <f t="shared" si="24"/>
        <v>0</v>
      </c>
      <c r="X98" s="17">
        <f t="shared" si="25"/>
        <v>0</v>
      </c>
      <c r="Y98" s="17">
        <f t="shared" si="26"/>
        <v>0</v>
      </c>
    </row>
    <row r="99" spans="1:25" x14ac:dyDescent="0.35">
      <c r="A99" s="7">
        <v>16.100000000000001</v>
      </c>
      <c r="B99" s="53" t="s">
        <v>335</v>
      </c>
      <c r="C99" t="s">
        <v>336</v>
      </c>
      <c r="D99" t="s">
        <v>337</v>
      </c>
      <c r="E99" s="31" t="s">
        <v>191</v>
      </c>
      <c r="F99" s="11" t="str">
        <f>IFERROR(VLOOKUP(B99,'Categories List'!B$2:C$36,2,FALSE),"")</f>
        <v/>
      </c>
      <c r="G99" s="88" t="s">
        <v>119</v>
      </c>
      <c r="H99" s="88" t="s">
        <v>119</v>
      </c>
      <c r="I99" s="88" t="s">
        <v>119</v>
      </c>
      <c r="J99" s="89" t="s">
        <v>119</v>
      </c>
      <c r="K99" s="90" t="s">
        <v>119</v>
      </c>
      <c r="L99" s="91" t="s">
        <v>119</v>
      </c>
      <c r="M99" s="88" t="s">
        <v>118</v>
      </c>
      <c r="N99" s="91" t="s">
        <v>119</v>
      </c>
      <c r="O99" s="42"/>
      <c r="P99" s="11" t="str">
        <f>IF(COUNTIF(K99:N99,"Yes")&gt;0,"Yes",IF(COUNTIF(K99:N99,"Maybe")&gt;0,"Maybe","No"))</f>
        <v>Yes</v>
      </c>
      <c r="Q99" s="42"/>
      <c r="R99" t="str">
        <f>IF(COUNTIF(L99:O99,"Yes")&gt;0,"Yes",IF(COUNTIF(L99:O99,"Maybe")&gt;1,"Maybe","No"))</f>
        <v>Yes</v>
      </c>
      <c r="S99" s="32" t="str">
        <f>IF(OR(P99="Yes", P99="Maybe"),B99,0)</f>
        <v>Compliance Management Software</v>
      </c>
      <c r="T99" s="11">
        <f t="shared" si="21"/>
        <v>0</v>
      </c>
      <c r="U99" s="11">
        <f t="shared" si="22"/>
        <v>0</v>
      </c>
      <c r="V99" s="11">
        <f t="shared" si="23"/>
        <v>1</v>
      </c>
      <c r="W99" s="17">
        <f t="shared" si="24"/>
        <v>0</v>
      </c>
      <c r="X99" s="17">
        <f t="shared" si="25"/>
        <v>0.25</v>
      </c>
      <c r="Y99" s="17">
        <f t="shared" si="26"/>
        <v>0</v>
      </c>
    </row>
    <row r="100" spans="1:25" x14ac:dyDescent="0.35">
      <c r="A100" s="7">
        <v>16.2</v>
      </c>
      <c r="B100" s="53" t="s">
        <v>338</v>
      </c>
      <c r="C100" t="s">
        <v>339</v>
      </c>
      <c r="E100" s="31" t="s">
        <v>191</v>
      </c>
      <c r="F100" s="11" t="str">
        <f>IFERROR(VLOOKUP(B100,'Categories List'!B$2:C$36,2,FALSE),"")</f>
        <v/>
      </c>
      <c r="G100" s="26" t="s">
        <v>119</v>
      </c>
      <c r="H100" s="26" t="s">
        <v>119</v>
      </c>
      <c r="I100" s="26" t="s">
        <v>119</v>
      </c>
      <c r="J100" s="82" t="s">
        <v>119</v>
      </c>
      <c r="K100" s="17" t="s">
        <v>119</v>
      </c>
      <c r="L100" s="11" t="s">
        <v>119</v>
      </c>
      <c r="M100" s="26" t="s">
        <v>119</v>
      </c>
      <c r="N100" s="11" t="s">
        <v>119</v>
      </c>
      <c r="O100" s="42"/>
      <c r="P100" s="11" t="str">
        <f>IF(COUNTIF(K100:N100,"Yes")&gt;0,"Yes",IF(COUNTIF(K100:N100,"Maybe")&gt;0,"Maybe","No"))</f>
        <v>No</v>
      </c>
      <c r="Q100" s="42"/>
      <c r="R100" t="str">
        <f>IF(COUNTIF(L100:O100,"Yes")&gt;0,"Yes",IF(COUNTIF(L100:O100,"Maybe")&gt;1,"Maybe","No"))</f>
        <v>No</v>
      </c>
      <c r="S100" s="32"/>
      <c r="T100" s="11">
        <f t="shared" si="21"/>
        <v>0</v>
      </c>
      <c r="U100" s="11">
        <f t="shared" si="22"/>
        <v>0</v>
      </c>
      <c r="V100" s="11">
        <f t="shared" si="23"/>
        <v>0</v>
      </c>
      <c r="W100" s="17">
        <f t="shared" si="24"/>
        <v>0</v>
      </c>
      <c r="X100" s="17">
        <f t="shared" si="25"/>
        <v>0</v>
      </c>
      <c r="Y100" s="17">
        <f t="shared" si="26"/>
        <v>0</v>
      </c>
    </row>
    <row r="101" spans="1:25" x14ac:dyDescent="0.35">
      <c r="A101" s="7">
        <v>16.3</v>
      </c>
      <c r="B101" s="53" t="s">
        <v>340</v>
      </c>
      <c r="C101" t="s">
        <v>341</v>
      </c>
      <c r="E101" s="31" t="s">
        <v>191</v>
      </c>
      <c r="F101" s="11" t="str">
        <f>IFERROR(VLOOKUP(B101,'Categories List'!B$2:C$36,2,FALSE),"")</f>
        <v/>
      </c>
      <c r="G101" s="27" t="s">
        <v>119</v>
      </c>
      <c r="H101" s="27" t="s">
        <v>119</v>
      </c>
      <c r="I101" s="27" t="s">
        <v>119</v>
      </c>
      <c r="J101" s="83" t="s">
        <v>119</v>
      </c>
      <c r="K101" s="20" t="s">
        <v>119</v>
      </c>
      <c r="L101" s="19" t="s">
        <v>119</v>
      </c>
      <c r="M101" s="27" t="s">
        <v>118</v>
      </c>
      <c r="N101" s="19" t="s">
        <v>119</v>
      </c>
      <c r="O101" s="42"/>
      <c r="P101" s="11" t="str">
        <f>IF(COUNTIF(K101:N101,"Yes")&gt;0,"Yes",IF(COUNTIF(K101:N101,"Maybe")&gt;0,"Maybe","No"))</f>
        <v>Yes</v>
      </c>
      <c r="Q101" s="42"/>
      <c r="R101" t="str">
        <f>IF(COUNTIF(L101:O101,"Yes")&gt;0,"Yes",IF(COUNTIF(L101:O101,"Maybe")&gt;1,"Maybe","No"))</f>
        <v>Yes</v>
      </c>
      <c r="S101" s="32" t="str">
        <f>IF(OR(P101="Yes", P101="Maybe"),B101,0)</f>
        <v>Regulatory Reporting Platforms</v>
      </c>
      <c r="T101" s="11">
        <f t="shared" ref="T101:T132" si="27">IF(K101="Yes",1,IF(K101="Maybe",0.5,0))</f>
        <v>0</v>
      </c>
      <c r="U101" s="11">
        <f t="shared" ref="U101:U132" si="28">IF(L101="Yes",1,IF(L101="Maybe",0.5,0))</f>
        <v>0</v>
      </c>
      <c r="V101" s="11">
        <f t="shared" ref="V101:V132" si="29">IF(M101="Yes",1,IF(M101="Maybe",0.5,0))</f>
        <v>1</v>
      </c>
      <c r="W101" s="17">
        <f t="shared" ref="W101:W132" si="30">IF(N101="Yes",1,IF(N101="Maybe",0.5,0))</f>
        <v>0</v>
      </c>
      <c r="X101" s="17">
        <f t="shared" si="25"/>
        <v>0.25</v>
      </c>
      <c r="Y101" s="17">
        <f t="shared" si="26"/>
        <v>0</v>
      </c>
    </row>
    <row r="102" spans="1:25" ht="16" x14ac:dyDescent="0.35">
      <c r="A102" s="62">
        <v>17</v>
      </c>
      <c r="B102" s="63" t="s">
        <v>76</v>
      </c>
      <c r="C102" s="56"/>
      <c r="D102" s="56"/>
      <c r="E102" s="65" t="s">
        <v>284</v>
      </c>
      <c r="F102" s="61" t="str">
        <f>IFERROR(VLOOKUP(B102,'Categories List'!B$2:C$36,2,FALSE),"")</f>
        <v>Priority 3</v>
      </c>
      <c r="G102" s="26"/>
      <c r="H102" s="26"/>
      <c r="I102" s="26"/>
      <c r="J102" s="82"/>
      <c r="K102" s="17"/>
      <c r="L102" s="11"/>
      <c r="M102" s="26"/>
      <c r="N102" s="11"/>
      <c r="O102" s="42"/>
      <c r="Q102" s="42"/>
      <c r="S102" s="32"/>
      <c r="T102" s="11">
        <f t="shared" si="27"/>
        <v>0</v>
      </c>
      <c r="U102" s="11">
        <f t="shared" si="28"/>
        <v>0</v>
      </c>
      <c r="V102" s="11">
        <f t="shared" si="29"/>
        <v>0</v>
      </c>
      <c r="W102" s="17">
        <f t="shared" si="30"/>
        <v>0</v>
      </c>
      <c r="X102" s="17">
        <f t="shared" si="25"/>
        <v>0</v>
      </c>
      <c r="Y102" s="17">
        <f t="shared" si="26"/>
        <v>0</v>
      </c>
    </row>
    <row r="103" spans="1:25" x14ac:dyDescent="0.35">
      <c r="A103" s="7">
        <v>17.100000000000001</v>
      </c>
      <c r="B103" s="53" t="s">
        <v>342</v>
      </c>
      <c r="C103" t="s">
        <v>343</v>
      </c>
      <c r="E103" s="31" t="s">
        <v>284</v>
      </c>
      <c r="F103" s="11" t="str">
        <f>IFERROR(VLOOKUP(B103,'Categories List'!B$2:C$36,2,FALSE),"")</f>
        <v/>
      </c>
      <c r="G103" s="88" t="s">
        <v>119</v>
      </c>
      <c r="H103" s="88" t="s">
        <v>119</v>
      </c>
      <c r="I103" s="88" t="s">
        <v>119</v>
      </c>
      <c r="J103" s="89" t="s">
        <v>118</v>
      </c>
      <c r="K103" s="90" t="s">
        <v>119</v>
      </c>
      <c r="L103" s="91" t="s">
        <v>119</v>
      </c>
      <c r="M103" s="88" t="s">
        <v>119</v>
      </c>
      <c r="N103" s="91" t="s">
        <v>119</v>
      </c>
      <c r="O103" s="42"/>
      <c r="P103" s="11" t="str">
        <f>IF(COUNTIF(K103:N103,"Yes")&gt;0,"Yes",IF(COUNTIF(K103:N103,"Maybe")&gt;0,"Maybe","No"))</f>
        <v>No</v>
      </c>
      <c r="Q103" s="42"/>
      <c r="R103" t="str">
        <f>IF(COUNTIF(L103:O103,"Yes")&gt;0,"Yes",IF(COUNTIF(L103:O103,"Maybe")&gt;1,"Maybe","No"))</f>
        <v>No</v>
      </c>
      <c r="S103" s="32"/>
      <c r="T103" s="11">
        <f t="shared" si="27"/>
        <v>0</v>
      </c>
      <c r="U103" s="11">
        <f t="shared" si="28"/>
        <v>0</v>
      </c>
      <c r="V103" s="11">
        <f t="shared" si="29"/>
        <v>0</v>
      </c>
      <c r="W103" s="17">
        <f t="shared" si="30"/>
        <v>0</v>
      </c>
      <c r="X103" s="17">
        <f t="shared" si="25"/>
        <v>0</v>
      </c>
      <c r="Y103" s="17">
        <f t="shared" si="26"/>
        <v>0</v>
      </c>
    </row>
    <row r="104" spans="1:25" x14ac:dyDescent="0.35">
      <c r="A104" s="7">
        <v>17.2</v>
      </c>
      <c r="B104" s="53" t="s">
        <v>344</v>
      </c>
      <c r="C104" t="s">
        <v>345</v>
      </c>
      <c r="E104" s="31" t="s">
        <v>284</v>
      </c>
      <c r="F104" s="11" t="str">
        <f>IFERROR(VLOOKUP(B104,'Categories List'!B$2:C$36,2,FALSE),"")</f>
        <v/>
      </c>
      <c r="G104" s="27" t="s">
        <v>119</v>
      </c>
      <c r="H104" s="27" t="s">
        <v>119</v>
      </c>
      <c r="I104" s="27" t="s">
        <v>119</v>
      </c>
      <c r="J104" s="83" t="s">
        <v>119</v>
      </c>
      <c r="K104" s="20" t="s">
        <v>119</v>
      </c>
      <c r="L104" s="19" t="s">
        <v>119</v>
      </c>
      <c r="M104" s="27" t="s">
        <v>119</v>
      </c>
      <c r="N104" s="19" t="s">
        <v>119</v>
      </c>
      <c r="O104" s="42"/>
      <c r="P104" s="11" t="str">
        <f>IF(COUNTIF(K104:N104,"Yes")&gt;0,"Yes",IF(COUNTIF(K104:N104,"Maybe")&gt;0,"Maybe","No"))</f>
        <v>No</v>
      </c>
      <c r="Q104" s="42"/>
      <c r="R104" t="str">
        <f>IF(COUNTIF(L104:O104,"Yes")&gt;0,"Yes",IF(COUNTIF(L104:O104,"Maybe")&gt;1,"Maybe","No"))</f>
        <v>No</v>
      </c>
      <c r="S104" s="32"/>
      <c r="T104" s="11">
        <f t="shared" si="27"/>
        <v>0</v>
      </c>
      <c r="U104" s="11">
        <f t="shared" si="28"/>
        <v>0</v>
      </c>
      <c r="V104" s="11">
        <f t="shared" si="29"/>
        <v>0</v>
      </c>
      <c r="W104" s="17">
        <f t="shared" si="30"/>
        <v>0</v>
      </c>
      <c r="X104" s="17">
        <f t="shared" si="25"/>
        <v>0</v>
      </c>
      <c r="Y104" s="17">
        <f t="shared" si="26"/>
        <v>0</v>
      </c>
    </row>
    <row r="105" spans="1:25" ht="16" x14ac:dyDescent="0.35">
      <c r="A105" s="62">
        <v>18</v>
      </c>
      <c r="B105" s="63" t="s">
        <v>77</v>
      </c>
      <c r="C105" s="56"/>
      <c r="D105" s="56"/>
      <c r="E105" s="65" t="s">
        <v>346</v>
      </c>
      <c r="F105" s="61" t="str">
        <f>IFERROR(VLOOKUP(B105,'Categories List'!B$2:C$36,2,FALSE),"")</f>
        <v>Priority 3</v>
      </c>
      <c r="G105" s="26"/>
      <c r="H105" s="26"/>
      <c r="I105" s="26"/>
      <c r="J105" s="82"/>
      <c r="K105" s="17"/>
      <c r="L105" s="11"/>
      <c r="M105" s="26"/>
      <c r="N105" s="11"/>
      <c r="O105" s="42"/>
      <c r="Q105" s="42"/>
      <c r="S105" s="32"/>
      <c r="T105" s="11">
        <f t="shared" si="27"/>
        <v>0</v>
      </c>
      <c r="U105" s="11">
        <f t="shared" si="28"/>
        <v>0</v>
      </c>
      <c r="V105" s="11">
        <f t="shared" si="29"/>
        <v>0</v>
      </c>
      <c r="W105" s="17">
        <f t="shared" si="30"/>
        <v>0</v>
      </c>
      <c r="X105" s="17">
        <f t="shared" si="25"/>
        <v>0</v>
      </c>
      <c r="Y105" s="17">
        <f t="shared" si="26"/>
        <v>0</v>
      </c>
    </row>
    <row r="106" spans="1:25" x14ac:dyDescent="0.35">
      <c r="A106" s="7">
        <v>18.100000000000001</v>
      </c>
      <c r="B106" s="53" t="s">
        <v>347</v>
      </c>
      <c r="C106" t="s">
        <v>348</v>
      </c>
      <c r="E106" s="31" t="s">
        <v>346</v>
      </c>
      <c r="F106" s="11" t="str">
        <f>IFERROR(VLOOKUP(B106,'Categories List'!B$2:C$36,2,FALSE),"")</f>
        <v/>
      </c>
      <c r="G106" s="88" t="s">
        <v>118</v>
      </c>
      <c r="H106" s="88" t="s">
        <v>119</v>
      </c>
      <c r="I106" s="88" t="s">
        <v>119</v>
      </c>
      <c r="J106" s="89" t="s">
        <v>119</v>
      </c>
      <c r="K106" s="90" t="s">
        <v>119</v>
      </c>
      <c r="L106" s="91" t="s">
        <v>120</v>
      </c>
      <c r="M106" s="88" t="s">
        <v>118</v>
      </c>
      <c r="N106" s="91" t="s">
        <v>118</v>
      </c>
      <c r="O106" s="42"/>
      <c r="P106" s="11" t="str">
        <f>IF(COUNTIF(K106:N106,"Yes")&gt;0,"Yes",IF(COUNTIF(K106:N106,"Maybe")&gt;0,"Maybe","No"))</f>
        <v>Yes</v>
      </c>
      <c r="Q106" s="42"/>
      <c r="R106" t="str">
        <f>IF(COUNTIF(L106:O106,"Yes")&gt;0,"Yes",IF(COUNTIF(L106:O106,"Maybe")&gt;1,"Maybe","No"))</f>
        <v>Yes</v>
      </c>
      <c r="S106" s="32" t="str">
        <f>IF(OR(P106="Yes", P106="Maybe"),B106,0)</f>
        <v>IoT Sensors</v>
      </c>
      <c r="T106" s="11">
        <f t="shared" si="27"/>
        <v>0</v>
      </c>
      <c r="U106" s="11">
        <f t="shared" si="28"/>
        <v>0.5</v>
      </c>
      <c r="V106" s="11">
        <f t="shared" si="29"/>
        <v>1</v>
      </c>
      <c r="W106" s="17">
        <f t="shared" si="30"/>
        <v>1</v>
      </c>
      <c r="X106" s="17">
        <f t="shared" si="25"/>
        <v>0.625</v>
      </c>
      <c r="Y106" s="17">
        <f t="shared" si="26"/>
        <v>1</v>
      </c>
    </row>
    <row r="107" spans="1:25" x14ac:dyDescent="0.35">
      <c r="A107" s="7">
        <v>18.2</v>
      </c>
      <c r="B107" s="53" t="s">
        <v>349</v>
      </c>
      <c r="C107" t="s">
        <v>350</v>
      </c>
      <c r="E107" s="31" t="s">
        <v>346</v>
      </c>
      <c r="F107" s="11" t="str">
        <f>IFERROR(VLOOKUP(B107,'Categories List'!B$2:C$36,2,FALSE),"")</f>
        <v/>
      </c>
      <c r="G107" s="26" t="s">
        <v>118</v>
      </c>
      <c r="H107" s="26" t="s">
        <v>119</v>
      </c>
      <c r="I107" s="26" t="s">
        <v>119</v>
      </c>
      <c r="J107" s="82" t="s">
        <v>119</v>
      </c>
      <c r="K107" s="17" t="s">
        <v>119</v>
      </c>
      <c r="L107" s="11" t="s">
        <v>120</v>
      </c>
      <c r="M107" s="26" t="s">
        <v>120</v>
      </c>
      <c r="N107" s="11" t="s">
        <v>120</v>
      </c>
      <c r="O107" s="42"/>
      <c r="P107" s="11" t="str">
        <f>IF(COUNTIF(K107:N107,"Yes")&gt;0,"Yes",IF(COUNTIF(K107:N107,"Maybe")&gt;0,"Maybe","No"))</f>
        <v>Maybe</v>
      </c>
      <c r="Q107" s="42"/>
      <c r="R107" t="str">
        <f>IF(COUNTIF(L107:O107,"Yes")&gt;0,"Yes",IF(COUNTIF(L107:O107,"Maybe")&gt;1,"Maybe","No"))</f>
        <v>Maybe</v>
      </c>
      <c r="S107" s="32" t="str">
        <f>IF(OR(P107="Yes", P107="Maybe"),B107,0)</f>
        <v>Smart Thermostats</v>
      </c>
      <c r="T107" s="11">
        <f t="shared" si="27"/>
        <v>0</v>
      </c>
      <c r="U107" s="11">
        <f t="shared" si="28"/>
        <v>0.5</v>
      </c>
      <c r="V107" s="11">
        <f t="shared" si="29"/>
        <v>0.5</v>
      </c>
      <c r="W107" s="17">
        <f t="shared" si="30"/>
        <v>0.5</v>
      </c>
      <c r="X107" s="17">
        <f t="shared" si="25"/>
        <v>0.375</v>
      </c>
      <c r="Y107" s="17">
        <f t="shared" si="26"/>
        <v>0</v>
      </c>
    </row>
    <row r="108" spans="1:25" x14ac:dyDescent="0.35">
      <c r="A108" s="7">
        <v>18.3</v>
      </c>
      <c r="B108" s="53" t="s">
        <v>351</v>
      </c>
      <c r="C108" t="s">
        <v>352</v>
      </c>
      <c r="E108" s="31" t="s">
        <v>346</v>
      </c>
      <c r="F108" s="11" t="str">
        <f>IFERROR(VLOOKUP(B108,'Categories List'!B$2:C$36,2,FALSE),"")</f>
        <v/>
      </c>
      <c r="G108" s="26" t="s">
        <v>118</v>
      </c>
      <c r="H108" s="26" t="s">
        <v>119</v>
      </c>
      <c r="I108" s="26" t="s">
        <v>119</v>
      </c>
      <c r="J108" s="82" t="s">
        <v>119</v>
      </c>
      <c r="K108" s="17" t="s">
        <v>119</v>
      </c>
      <c r="L108" s="11" t="s">
        <v>120</v>
      </c>
      <c r="M108" s="26" t="s">
        <v>118</v>
      </c>
      <c r="N108" s="11" t="s">
        <v>120</v>
      </c>
      <c r="O108" s="42"/>
      <c r="P108" s="11" t="str">
        <f>IF(COUNTIF(K108:N108,"Yes")&gt;0,"Yes",IF(COUNTIF(K108:N108,"Maybe")&gt;0,"Maybe","No"))</f>
        <v>Yes</v>
      </c>
      <c r="Q108" s="42"/>
      <c r="R108" t="str">
        <f>IF(COUNTIF(L108:O108,"Yes")&gt;0,"Yes",IF(COUNTIF(L108:O108,"Maybe")&gt;1,"Maybe","No"))</f>
        <v>Yes</v>
      </c>
      <c r="S108" s="32" t="str">
        <f>IF(OR(P108="Yes", P108="Maybe"),B108,0)</f>
        <v>Connected Devices</v>
      </c>
      <c r="T108" s="11">
        <f t="shared" si="27"/>
        <v>0</v>
      </c>
      <c r="U108" s="11">
        <f t="shared" si="28"/>
        <v>0.5</v>
      </c>
      <c r="V108" s="11">
        <f t="shared" si="29"/>
        <v>1</v>
      </c>
      <c r="W108" s="17">
        <f t="shared" si="30"/>
        <v>0.5</v>
      </c>
      <c r="X108" s="17">
        <f t="shared" si="25"/>
        <v>0.5</v>
      </c>
      <c r="Y108" s="17">
        <f t="shared" si="26"/>
        <v>1</v>
      </c>
    </row>
    <row r="109" spans="1:25" x14ac:dyDescent="0.35">
      <c r="A109" s="7">
        <v>18.399999999999999</v>
      </c>
      <c r="B109" s="53" t="s">
        <v>353</v>
      </c>
      <c r="C109" t="s">
        <v>354</v>
      </c>
      <c r="D109" t="s">
        <v>355</v>
      </c>
      <c r="E109" s="31" t="s">
        <v>346</v>
      </c>
      <c r="F109" s="11" t="str">
        <f>IFERROR(VLOOKUP(B109,'Categories List'!B$2:C$36,2,FALSE),"")</f>
        <v/>
      </c>
      <c r="G109" s="26" t="s">
        <v>118</v>
      </c>
      <c r="H109" s="26" t="s">
        <v>119</v>
      </c>
      <c r="I109" s="26" t="s">
        <v>119</v>
      </c>
      <c r="J109" s="82" t="s">
        <v>119</v>
      </c>
      <c r="K109" s="17" t="s">
        <v>119</v>
      </c>
      <c r="L109" s="11" t="s">
        <v>120</v>
      </c>
      <c r="M109" s="26" t="s">
        <v>119</v>
      </c>
      <c r="N109" s="11" t="s">
        <v>120</v>
      </c>
      <c r="O109" s="42"/>
      <c r="P109" s="11" t="str">
        <f>IF(COUNTIF(K109:N109,"Yes")&gt;0,"Yes",IF(COUNTIF(K109:N109,"Maybe")&gt;0,"Maybe","No"))</f>
        <v>Maybe</v>
      </c>
      <c r="Q109" s="42"/>
      <c r="R109" t="str">
        <f>IF(COUNTIF(L109:O109,"Yes")&gt;0,"Yes",IF(COUNTIF(L109:O109,"Maybe")&gt;1,"Maybe","No"))</f>
        <v>Maybe</v>
      </c>
      <c r="S109" s="32" t="str">
        <f>IF(OR(P109="Yes", P109="Maybe"),B109,0)</f>
        <v>IoT Platforms for Energy Management</v>
      </c>
      <c r="T109" s="11">
        <f t="shared" si="27"/>
        <v>0</v>
      </c>
      <c r="U109" s="11">
        <f t="shared" si="28"/>
        <v>0.5</v>
      </c>
      <c r="V109" s="11">
        <f t="shared" si="29"/>
        <v>0</v>
      </c>
      <c r="W109" s="17">
        <f t="shared" si="30"/>
        <v>0.5</v>
      </c>
      <c r="X109" s="17">
        <f t="shared" si="25"/>
        <v>0.25</v>
      </c>
      <c r="Y109" s="17">
        <f t="shared" si="26"/>
        <v>0</v>
      </c>
    </row>
    <row r="110" spans="1:25" x14ac:dyDescent="0.35">
      <c r="A110" s="7">
        <v>18.5</v>
      </c>
      <c r="B110" s="53" t="s">
        <v>356</v>
      </c>
      <c r="C110" t="s">
        <v>357</v>
      </c>
      <c r="D110" t="s">
        <v>358</v>
      </c>
      <c r="E110" s="31" t="s">
        <v>346</v>
      </c>
      <c r="F110" s="11" t="str">
        <f>IFERROR(VLOOKUP(B110,'Categories List'!B$2:C$36,2,FALSE),"")</f>
        <v/>
      </c>
      <c r="G110" s="27" t="s">
        <v>118</v>
      </c>
      <c r="H110" s="27" t="s">
        <v>119</v>
      </c>
      <c r="I110" s="27" t="s">
        <v>119</v>
      </c>
      <c r="J110" s="83" t="s">
        <v>119</v>
      </c>
      <c r="K110" s="20" t="s">
        <v>119</v>
      </c>
      <c r="L110" s="19" t="s">
        <v>120</v>
      </c>
      <c r="M110" s="27" t="s">
        <v>119</v>
      </c>
      <c r="N110" s="19" t="s">
        <v>120</v>
      </c>
      <c r="O110" s="42"/>
      <c r="P110" s="11" t="str">
        <f>IF(COUNTIF(K110:N110,"Yes")&gt;0,"Yes",IF(COUNTIF(K110:N110,"Maybe")&gt;0,"Maybe","No"))</f>
        <v>Maybe</v>
      </c>
      <c r="Q110" s="42"/>
      <c r="R110" t="str">
        <f>IF(COUNTIF(L110:O110,"Yes")&gt;0,"Yes",IF(COUNTIF(L110:O110,"Maybe")&gt;1,"Maybe","No"))</f>
        <v>Maybe</v>
      </c>
      <c r="S110" s="32" t="str">
        <f>IF(OR(P110="Yes", P110="Maybe"),B110,0)</f>
        <v>Edge Computing for Energy Systems</v>
      </c>
      <c r="T110" s="11">
        <f t="shared" si="27"/>
        <v>0</v>
      </c>
      <c r="U110" s="11">
        <f t="shared" si="28"/>
        <v>0.5</v>
      </c>
      <c r="V110" s="11">
        <f t="shared" si="29"/>
        <v>0</v>
      </c>
      <c r="W110" s="17">
        <f t="shared" si="30"/>
        <v>0.5</v>
      </c>
      <c r="X110" s="17">
        <f t="shared" si="25"/>
        <v>0.25</v>
      </c>
      <c r="Y110" s="17">
        <f t="shared" si="26"/>
        <v>0</v>
      </c>
    </row>
    <row r="111" spans="1:25" ht="16" x14ac:dyDescent="0.35">
      <c r="A111" s="62">
        <v>19</v>
      </c>
      <c r="B111" s="63" t="s">
        <v>78</v>
      </c>
      <c r="C111" s="56"/>
      <c r="D111" s="56"/>
      <c r="E111" s="65" t="s">
        <v>359</v>
      </c>
      <c r="F111" s="61" t="str">
        <f>IFERROR(VLOOKUP(B111,'Categories List'!B$2:C$36,2,FALSE),"")</f>
        <v>Priority 3</v>
      </c>
      <c r="G111" s="26"/>
      <c r="H111" s="26"/>
      <c r="I111" s="26"/>
      <c r="J111" s="82"/>
      <c r="K111" s="17"/>
      <c r="L111" s="11"/>
      <c r="M111" s="26"/>
      <c r="N111" s="11"/>
      <c r="O111" s="42"/>
      <c r="Q111" s="42"/>
      <c r="S111" s="32"/>
      <c r="T111" s="11">
        <f t="shared" si="27"/>
        <v>0</v>
      </c>
      <c r="U111" s="11">
        <f t="shared" si="28"/>
        <v>0</v>
      </c>
      <c r="V111" s="11">
        <f t="shared" si="29"/>
        <v>0</v>
      </c>
      <c r="W111" s="17">
        <f t="shared" si="30"/>
        <v>0</v>
      </c>
      <c r="X111" s="17">
        <f t="shared" si="25"/>
        <v>0</v>
      </c>
      <c r="Y111" s="17">
        <f t="shared" si="26"/>
        <v>0</v>
      </c>
    </row>
    <row r="112" spans="1:25" x14ac:dyDescent="0.35">
      <c r="A112" s="7">
        <v>19.100000000000001</v>
      </c>
      <c r="B112" s="53" t="s">
        <v>360</v>
      </c>
      <c r="C112" t="s">
        <v>361</v>
      </c>
      <c r="D112" t="s">
        <v>362</v>
      </c>
      <c r="E112" s="31" t="s">
        <v>359</v>
      </c>
      <c r="F112" s="11" t="str">
        <f>IFERROR(VLOOKUP(B112,'Categories List'!B$2:C$36,2,FALSE),"")</f>
        <v/>
      </c>
      <c r="G112" s="88" t="s">
        <v>119</v>
      </c>
      <c r="H112" s="88" t="s">
        <v>119</v>
      </c>
      <c r="I112" s="88" t="s">
        <v>119</v>
      </c>
      <c r="J112" s="89" t="s">
        <v>119</v>
      </c>
      <c r="K112" s="90" t="s">
        <v>119</v>
      </c>
      <c r="L112" s="91" t="s">
        <v>119</v>
      </c>
      <c r="M112" s="88" t="s">
        <v>119</v>
      </c>
      <c r="N112" s="91" t="s">
        <v>119</v>
      </c>
      <c r="O112" s="42"/>
      <c r="P112" s="11" t="str">
        <f>IF(COUNTIF(K112:N112,"Yes")&gt;0,"Yes",IF(COUNTIF(K112:N112,"Maybe")&gt;0,"Maybe","No"))</f>
        <v>No</v>
      </c>
      <c r="Q112" s="42"/>
      <c r="R112" t="str">
        <f>IF(COUNTIF(L112:O112,"Yes")&gt;0,"Yes",IF(COUNTIF(L112:O112,"Maybe")&gt;1,"Maybe","No"))</f>
        <v>No</v>
      </c>
      <c r="S112" s="32"/>
      <c r="T112" s="11">
        <f t="shared" si="27"/>
        <v>0</v>
      </c>
      <c r="U112" s="11">
        <f t="shared" si="28"/>
        <v>0</v>
      </c>
      <c r="V112" s="11">
        <f t="shared" si="29"/>
        <v>0</v>
      </c>
      <c r="W112" s="17">
        <f t="shared" si="30"/>
        <v>0</v>
      </c>
      <c r="X112" s="17">
        <f t="shared" si="25"/>
        <v>0</v>
      </c>
      <c r="Y112" s="17">
        <f t="shared" si="26"/>
        <v>0</v>
      </c>
    </row>
    <row r="113" spans="1:25" x14ac:dyDescent="0.35">
      <c r="A113" s="7">
        <v>19.2</v>
      </c>
      <c r="B113" s="53" t="s">
        <v>363</v>
      </c>
      <c r="C113" t="s">
        <v>364</v>
      </c>
      <c r="D113" t="s">
        <v>365</v>
      </c>
      <c r="E113" s="31" t="s">
        <v>359</v>
      </c>
      <c r="F113" s="11" t="str">
        <f>IFERROR(VLOOKUP(B113,'Categories List'!B$2:C$36,2,FALSE),"")</f>
        <v/>
      </c>
      <c r="G113" s="26" t="s">
        <v>119</v>
      </c>
      <c r="H113" s="26" t="s">
        <v>119</v>
      </c>
      <c r="I113" s="26" t="s">
        <v>119</v>
      </c>
      <c r="J113" s="82" t="s">
        <v>119</v>
      </c>
      <c r="K113" s="17" t="s">
        <v>119</v>
      </c>
      <c r="L113" s="11" t="s">
        <v>119</v>
      </c>
      <c r="M113" s="26" t="s">
        <v>119</v>
      </c>
      <c r="N113" s="11" t="s">
        <v>119</v>
      </c>
      <c r="O113" s="42"/>
      <c r="P113" s="11" t="str">
        <f>IF(COUNTIF(K113:N113,"Yes")&gt;0,"Yes",IF(COUNTIF(K113:N113,"Maybe")&gt;0,"Maybe","No"))</f>
        <v>No</v>
      </c>
      <c r="Q113" s="42"/>
      <c r="R113" t="str">
        <f>IF(COUNTIF(L113:O113,"Yes")&gt;0,"Yes",IF(COUNTIF(L113:O113,"Maybe")&gt;1,"Maybe","No"))</f>
        <v>No</v>
      </c>
      <c r="S113" s="32"/>
      <c r="T113" s="11">
        <f t="shared" si="27"/>
        <v>0</v>
      </c>
      <c r="U113" s="11">
        <f t="shared" si="28"/>
        <v>0</v>
      </c>
      <c r="V113" s="11">
        <f t="shared" si="29"/>
        <v>0</v>
      </c>
      <c r="W113" s="17">
        <f t="shared" si="30"/>
        <v>0</v>
      </c>
      <c r="X113" s="17">
        <f t="shared" si="25"/>
        <v>0</v>
      </c>
      <c r="Y113" s="17">
        <f t="shared" si="26"/>
        <v>0</v>
      </c>
    </row>
    <row r="114" spans="1:25" x14ac:dyDescent="0.35">
      <c r="A114" s="7">
        <v>19.3</v>
      </c>
      <c r="B114" s="53" t="s">
        <v>366</v>
      </c>
      <c r="C114" t="s">
        <v>367</v>
      </c>
      <c r="E114" s="31" t="s">
        <v>359</v>
      </c>
      <c r="F114" s="11" t="str">
        <f>IFERROR(VLOOKUP(B114,'Categories List'!B$2:C$36,2,FALSE),"")</f>
        <v/>
      </c>
      <c r="G114" s="26" t="s">
        <v>119</v>
      </c>
      <c r="H114" s="26" t="s">
        <v>119</v>
      </c>
      <c r="I114" s="26" t="s">
        <v>119</v>
      </c>
      <c r="J114" s="82" t="s">
        <v>119</v>
      </c>
      <c r="K114" s="17" t="s">
        <v>119</v>
      </c>
      <c r="L114" s="11" t="s">
        <v>119</v>
      </c>
      <c r="M114" s="26" t="s">
        <v>119</v>
      </c>
      <c r="N114" s="11" t="s">
        <v>119</v>
      </c>
      <c r="O114" s="42"/>
      <c r="P114" s="11" t="str">
        <f>IF(COUNTIF(K114:N114,"Yes")&gt;0,"Yes",IF(COUNTIF(K114:N114,"Maybe")&gt;0,"Maybe","No"))</f>
        <v>No</v>
      </c>
      <c r="Q114" s="42"/>
      <c r="R114" t="str">
        <f>IF(COUNTIF(L114:O114,"Yes")&gt;0,"Yes",IF(COUNTIF(L114:O114,"Maybe")&gt;1,"Maybe","No"))</f>
        <v>No</v>
      </c>
      <c r="S114" s="32"/>
      <c r="T114" s="11">
        <f t="shared" si="27"/>
        <v>0</v>
      </c>
      <c r="U114" s="11">
        <f t="shared" si="28"/>
        <v>0</v>
      </c>
      <c r="V114" s="11">
        <f t="shared" si="29"/>
        <v>0</v>
      </c>
      <c r="W114" s="17">
        <f t="shared" si="30"/>
        <v>0</v>
      </c>
      <c r="X114" s="17">
        <f t="shared" si="25"/>
        <v>0</v>
      </c>
      <c r="Y114" s="17">
        <f t="shared" si="26"/>
        <v>0</v>
      </c>
    </row>
    <row r="115" spans="1:25" x14ac:dyDescent="0.35">
      <c r="A115" s="7">
        <v>19.399999999999999</v>
      </c>
      <c r="B115" s="53" t="s">
        <v>368</v>
      </c>
      <c r="C115" t="s">
        <v>369</v>
      </c>
      <c r="E115" s="31" t="s">
        <v>359</v>
      </c>
      <c r="F115" s="11" t="str">
        <f>IFERROR(VLOOKUP(B115,'Categories List'!B$2:C$36,2,FALSE),"")</f>
        <v/>
      </c>
      <c r="G115" s="26" t="s">
        <v>119</v>
      </c>
      <c r="H115" s="26" t="s">
        <v>119</v>
      </c>
      <c r="I115" s="26" t="s">
        <v>119</v>
      </c>
      <c r="J115" s="82" t="s">
        <v>119</v>
      </c>
      <c r="K115" s="17" t="s">
        <v>119</v>
      </c>
      <c r="L115" s="11" t="s">
        <v>119</v>
      </c>
      <c r="M115" s="26" t="s">
        <v>119</v>
      </c>
      <c r="N115" s="11" t="s">
        <v>119</v>
      </c>
      <c r="O115" s="42"/>
      <c r="P115" s="11" t="str">
        <f>IF(COUNTIF(K115:N115,"Yes")&gt;0,"Yes",IF(COUNTIF(K115:N115,"Maybe")&gt;0,"Maybe","No"))</f>
        <v>No</v>
      </c>
      <c r="Q115" s="42"/>
      <c r="R115" t="str">
        <f>IF(COUNTIF(L115:O115,"Yes")&gt;0,"Yes",IF(COUNTIF(L115:O115,"Maybe")&gt;1,"Maybe","No"))</f>
        <v>No</v>
      </c>
      <c r="S115" s="32"/>
      <c r="T115" s="11">
        <f t="shared" si="27"/>
        <v>0</v>
      </c>
      <c r="U115" s="11">
        <f t="shared" si="28"/>
        <v>0</v>
      </c>
      <c r="V115" s="11">
        <f t="shared" si="29"/>
        <v>0</v>
      </c>
      <c r="W115" s="17">
        <f t="shared" si="30"/>
        <v>0</v>
      </c>
      <c r="X115" s="17">
        <f t="shared" si="25"/>
        <v>0</v>
      </c>
      <c r="Y115" s="17">
        <f t="shared" si="26"/>
        <v>0</v>
      </c>
    </row>
    <row r="116" spans="1:25" x14ac:dyDescent="0.35">
      <c r="A116" s="7">
        <v>19.5</v>
      </c>
      <c r="B116" s="53" t="s">
        <v>370</v>
      </c>
      <c r="C116" t="s">
        <v>371</v>
      </c>
      <c r="E116" s="31" t="s">
        <v>359</v>
      </c>
      <c r="F116" s="11" t="str">
        <f>IFERROR(VLOOKUP(B116,'Categories List'!B$2:C$36,2,FALSE),"")</f>
        <v/>
      </c>
      <c r="G116" s="27" t="s">
        <v>119</v>
      </c>
      <c r="H116" s="27" t="s">
        <v>119</v>
      </c>
      <c r="I116" s="27" t="s">
        <v>119</v>
      </c>
      <c r="J116" s="83" t="s">
        <v>119</v>
      </c>
      <c r="K116" s="20" t="s">
        <v>119</v>
      </c>
      <c r="L116" s="19" t="s">
        <v>119</v>
      </c>
      <c r="M116" s="27" t="s">
        <v>119</v>
      </c>
      <c r="N116" s="19" t="s">
        <v>119</v>
      </c>
      <c r="O116" s="42"/>
      <c r="P116" s="11" t="str">
        <f>IF(COUNTIF(K116:N116,"Yes")&gt;0,"Yes",IF(COUNTIF(K116:N116,"Maybe")&gt;0,"Maybe","No"))</f>
        <v>No</v>
      </c>
      <c r="Q116" s="42"/>
      <c r="R116" t="str">
        <f>IF(COUNTIF(L116:O116,"Yes")&gt;0,"Yes",IF(COUNTIF(L116:O116,"Maybe")&gt;1,"Maybe","No"))</f>
        <v>No</v>
      </c>
      <c r="S116" s="32"/>
      <c r="T116" s="11">
        <f t="shared" si="27"/>
        <v>0</v>
      </c>
      <c r="U116" s="11">
        <f t="shared" si="28"/>
        <v>0</v>
      </c>
      <c r="V116" s="11">
        <f t="shared" si="29"/>
        <v>0</v>
      </c>
      <c r="W116" s="17">
        <f t="shared" si="30"/>
        <v>0</v>
      </c>
      <c r="X116" s="17">
        <f t="shared" si="25"/>
        <v>0</v>
      </c>
      <c r="Y116" s="17">
        <f t="shared" si="26"/>
        <v>0</v>
      </c>
    </row>
    <row r="117" spans="1:25" ht="16" x14ac:dyDescent="0.35">
      <c r="A117" s="62">
        <v>20</v>
      </c>
      <c r="B117" s="63" t="s">
        <v>79</v>
      </c>
      <c r="C117" s="56"/>
      <c r="D117" s="56"/>
      <c r="E117" s="65" t="s">
        <v>346</v>
      </c>
      <c r="F117" s="61" t="str">
        <f>IFERROR(VLOOKUP(B117,'Categories List'!B$2:C$36,2,FALSE),"")</f>
        <v>Priority 3</v>
      </c>
      <c r="G117" s="26"/>
      <c r="H117" s="26"/>
      <c r="I117" s="26"/>
      <c r="J117" s="82"/>
      <c r="K117" s="17"/>
      <c r="L117" s="11"/>
      <c r="M117" s="26"/>
      <c r="N117" s="11"/>
      <c r="O117" s="42"/>
      <c r="Q117" s="42"/>
      <c r="S117" s="32"/>
      <c r="T117" s="11">
        <f t="shared" si="27"/>
        <v>0</v>
      </c>
      <c r="U117" s="11">
        <f t="shared" si="28"/>
        <v>0</v>
      </c>
      <c r="V117" s="11">
        <f t="shared" si="29"/>
        <v>0</v>
      </c>
      <c r="W117" s="17">
        <f t="shared" si="30"/>
        <v>0</v>
      </c>
      <c r="X117" s="17">
        <f t="shared" si="25"/>
        <v>0</v>
      </c>
      <c r="Y117" s="17">
        <f t="shared" si="26"/>
        <v>0</v>
      </c>
    </row>
    <row r="118" spans="1:25" x14ac:dyDescent="0.35">
      <c r="A118" s="7">
        <v>20.100000000000001</v>
      </c>
      <c r="B118" s="53" t="s">
        <v>372</v>
      </c>
      <c r="C118" t="s">
        <v>373</v>
      </c>
      <c r="E118" s="31" t="s">
        <v>346</v>
      </c>
      <c r="F118" s="11" t="str">
        <f>IFERROR(VLOOKUP(B118,'Categories List'!B$2:C$36,2,FALSE),"")</f>
        <v/>
      </c>
      <c r="G118" s="88" t="s">
        <v>119</v>
      </c>
      <c r="H118" s="88" t="s">
        <v>119</v>
      </c>
      <c r="I118" s="88" t="s">
        <v>119</v>
      </c>
      <c r="J118" s="89" t="s">
        <v>119</v>
      </c>
      <c r="K118" s="90" t="s">
        <v>119</v>
      </c>
      <c r="L118" s="91" t="s">
        <v>119</v>
      </c>
      <c r="M118" s="88" t="s">
        <v>119</v>
      </c>
      <c r="N118" s="91" t="s">
        <v>119</v>
      </c>
      <c r="O118" s="42"/>
      <c r="P118" s="11" t="str">
        <f>IF(COUNTIF(K118:N118,"Yes")&gt;0,"Yes",IF(COUNTIF(K118:N118,"Maybe")&gt;0,"Maybe","No"))</f>
        <v>No</v>
      </c>
      <c r="Q118" s="42"/>
      <c r="R118" t="str">
        <f>IF(COUNTIF(L118:O118,"Yes")&gt;0,"Yes",IF(COUNTIF(L118:O118,"Maybe")&gt;1,"Maybe","No"))</f>
        <v>No</v>
      </c>
      <c r="S118" s="32"/>
      <c r="T118" s="11">
        <f t="shared" si="27"/>
        <v>0</v>
      </c>
      <c r="U118" s="11">
        <f t="shared" si="28"/>
        <v>0</v>
      </c>
      <c r="V118" s="11">
        <f t="shared" si="29"/>
        <v>0</v>
      </c>
      <c r="W118" s="17">
        <f t="shared" si="30"/>
        <v>0</v>
      </c>
      <c r="X118" s="17">
        <f t="shared" si="25"/>
        <v>0</v>
      </c>
      <c r="Y118" s="17">
        <f t="shared" si="26"/>
        <v>0</v>
      </c>
    </row>
    <row r="119" spans="1:25" x14ac:dyDescent="0.35">
      <c r="A119" s="7">
        <v>20.2</v>
      </c>
      <c r="B119" s="53" t="s">
        <v>374</v>
      </c>
      <c r="C119" t="s">
        <v>375</v>
      </c>
      <c r="E119" s="31" t="s">
        <v>346</v>
      </c>
      <c r="F119" s="11" t="str">
        <f>IFERROR(VLOOKUP(B119,'Categories List'!B$2:C$36,2,FALSE),"")</f>
        <v/>
      </c>
      <c r="G119" s="26" t="s">
        <v>119</v>
      </c>
      <c r="H119" s="26" t="s">
        <v>119</v>
      </c>
      <c r="I119" s="26" t="s">
        <v>119</v>
      </c>
      <c r="J119" s="82" t="s">
        <v>119</v>
      </c>
      <c r="K119" s="17" t="s">
        <v>119</v>
      </c>
      <c r="L119" s="11" t="s">
        <v>119</v>
      </c>
      <c r="M119" s="26" t="s">
        <v>119</v>
      </c>
      <c r="N119" s="11" t="s">
        <v>119</v>
      </c>
      <c r="O119" s="42"/>
      <c r="P119" s="11" t="str">
        <f>IF(COUNTIF(K119:N119,"Yes")&gt;0,"Yes",IF(COUNTIF(K119:N119,"Maybe")&gt;0,"Maybe","No"))</f>
        <v>No</v>
      </c>
      <c r="Q119" s="42"/>
      <c r="R119" t="str">
        <f>IF(COUNTIF(L119:O119,"Yes")&gt;0,"Yes",IF(COUNTIF(L119:O119,"Maybe")&gt;1,"Maybe","No"))</f>
        <v>No</v>
      </c>
      <c r="S119" s="32"/>
      <c r="T119" s="11">
        <f t="shared" si="27"/>
        <v>0</v>
      </c>
      <c r="U119" s="11">
        <f t="shared" si="28"/>
        <v>0</v>
      </c>
      <c r="V119" s="11">
        <f t="shared" si="29"/>
        <v>0</v>
      </c>
      <c r="W119" s="17">
        <f t="shared" si="30"/>
        <v>0</v>
      </c>
      <c r="X119" s="17">
        <f t="shared" si="25"/>
        <v>0</v>
      </c>
      <c r="Y119" s="17">
        <f t="shared" si="26"/>
        <v>0</v>
      </c>
    </row>
    <row r="120" spans="1:25" x14ac:dyDescent="0.35">
      <c r="A120" s="7">
        <v>20.3</v>
      </c>
      <c r="B120" s="53" t="s">
        <v>376</v>
      </c>
      <c r="C120" t="s">
        <v>377</v>
      </c>
      <c r="D120" t="s">
        <v>378</v>
      </c>
      <c r="E120" s="31" t="s">
        <v>346</v>
      </c>
      <c r="F120" s="11" t="str">
        <f>IFERROR(VLOOKUP(B120,'Categories List'!B$2:C$36,2,FALSE),"")</f>
        <v/>
      </c>
      <c r="G120" s="26" t="s">
        <v>119</v>
      </c>
      <c r="H120" s="26" t="s">
        <v>119</v>
      </c>
      <c r="I120" s="26" t="s">
        <v>119</v>
      </c>
      <c r="J120" s="82" t="s">
        <v>119</v>
      </c>
      <c r="K120" s="17" t="s">
        <v>119</v>
      </c>
      <c r="L120" s="11" t="s">
        <v>119</v>
      </c>
      <c r="M120" s="26" t="s">
        <v>119</v>
      </c>
      <c r="N120" s="11" t="s">
        <v>119</v>
      </c>
      <c r="O120" s="42"/>
      <c r="P120" s="11" t="str">
        <f>IF(COUNTIF(K120:N120,"Yes")&gt;0,"Yes",IF(COUNTIF(K120:N120,"Maybe")&gt;0,"Maybe","No"))</f>
        <v>No</v>
      </c>
      <c r="Q120" s="42"/>
      <c r="R120" t="str">
        <f>IF(COUNTIF(L120:O120,"Yes")&gt;0,"Yes",IF(COUNTIF(L120:O120,"Maybe")&gt;1,"Maybe","No"))</f>
        <v>No</v>
      </c>
      <c r="S120" s="32"/>
      <c r="T120" s="11">
        <f t="shared" si="27"/>
        <v>0</v>
      </c>
      <c r="U120" s="11">
        <f t="shared" si="28"/>
        <v>0</v>
      </c>
      <c r="V120" s="11">
        <f t="shared" si="29"/>
        <v>0</v>
      </c>
      <c r="W120" s="17">
        <f t="shared" si="30"/>
        <v>0</v>
      </c>
      <c r="X120" s="17">
        <f t="shared" si="25"/>
        <v>0</v>
      </c>
      <c r="Y120" s="17">
        <f t="shared" si="26"/>
        <v>0</v>
      </c>
    </row>
    <row r="121" spans="1:25" x14ac:dyDescent="0.35">
      <c r="A121" s="7">
        <v>20.399999999999999</v>
      </c>
      <c r="B121" s="53" t="s">
        <v>379</v>
      </c>
      <c r="C121" t="s">
        <v>380</v>
      </c>
      <c r="E121" s="31" t="s">
        <v>346</v>
      </c>
      <c r="F121" s="11" t="str">
        <f>IFERROR(VLOOKUP(B121,'Categories List'!B$2:C$36,2,FALSE),"")</f>
        <v/>
      </c>
      <c r="G121" s="27" t="s">
        <v>119</v>
      </c>
      <c r="H121" s="27" t="s">
        <v>119</v>
      </c>
      <c r="I121" s="27" t="s">
        <v>119</v>
      </c>
      <c r="J121" s="83" t="s">
        <v>119</v>
      </c>
      <c r="K121" s="20" t="s">
        <v>119</v>
      </c>
      <c r="L121" s="19" t="s">
        <v>119</v>
      </c>
      <c r="M121" s="27" t="s">
        <v>119</v>
      </c>
      <c r="N121" s="19" t="s">
        <v>119</v>
      </c>
      <c r="O121" s="42"/>
      <c r="P121" s="11" t="str">
        <f>IF(COUNTIF(K121:N121,"Yes")&gt;0,"Yes",IF(COUNTIF(K121:N121,"Maybe")&gt;0,"Maybe","No"))</f>
        <v>No</v>
      </c>
      <c r="Q121" s="42"/>
      <c r="R121" t="str">
        <f>IF(COUNTIF(L121:O121,"Yes")&gt;0,"Yes",IF(COUNTIF(L121:O121,"Maybe")&gt;1,"Maybe","No"))</f>
        <v>No</v>
      </c>
      <c r="S121" s="32"/>
      <c r="T121" s="11">
        <f t="shared" si="27"/>
        <v>0</v>
      </c>
      <c r="U121" s="11">
        <f t="shared" si="28"/>
        <v>0</v>
      </c>
      <c r="V121" s="11">
        <f t="shared" si="29"/>
        <v>0</v>
      </c>
      <c r="W121" s="17">
        <f t="shared" si="30"/>
        <v>0</v>
      </c>
      <c r="X121" s="17">
        <f t="shared" si="25"/>
        <v>0</v>
      </c>
      <c r="Y121" s="17">
        <f t="shared" si="26"/>
        <v>0</v>
      </c>
    </row>
    <row r="122" spans="1:25" ht="16" x14ac:dyDescent="0.35">
      <c r="A122" s="62">
        <v>21</v>
      </c>
      <c r="B122" s="63" t="s">
        <v>80</v>
      </c>
      <c r="C122" s="56"/>
      <c r="D122" s="56"/>
      <c r="E122" s="65" t="s">
        <v>112</v>
      </c>
      <c r="F122" s="61" t="str">
        <f>IFERROR(VLOOKUP(B122,'Categories List'!B$2:C$36,2,FALSE),"")</f>
        <v>Priority 3</v>
      </c>
      <c r="G122" s="26"/>
      <c r="H122" s="26"/>
      <c r="I122" s="26"/>
      <c r="J122" s="82"/>
      <c r="K122" s="17"/>
      <c r="L122" s="11"/>
      <c r="M122" s="26"/>
      <c r="N122" s="11"/>
      <c r="O122" s="42"/>
      <c r="Q122" s="42"/>
      <c r="S122" s="32"/>
      <c r="T122" s="11">
        <f t="shared" si="27"/>
        <v>0</v>
      </c>
      <c r="U122" s="11">
        <f t="shared" si="28"/>
        <v>0</v>
      </c>
      <c r="V122" s="11">
        <f t="shared" si="29"/>
        <v>0</v>
      </c>
      <c r="W122" s="17">
        <f t="shared" si="30"/>
        <v>0</v>
      </c>
      <c r="X122" s="17">
        <f t="shared" si="25"/>
        <v>0</v>
      </c>
      <c r="Y122" s="17">
        <f t="shared" si="26"/>
        <v>0</v>
      </c>
    </row>
    <row r="123" spans="1:25" x14ac:dyDescent="0.35">
      <c r="A123" s="7">
        <v>21.1</v>
      </c>
      <c r="B123" s="53" t="s">
        <v>381</v>
      </c>
      <c r="C123" t="s">
        <v>382</v>
      </c>
      <c r="E123" s="31" t="s">
        <v>112</v>
      </c>
      <c r="F123" s="11" t="str">
        <f>IFERROR(VLOOKUP(B123,'Categories List'!B$2:C$36,2,FALSE),"")</f>
        <v/>
      </c>
      <c r="G123" s="88" t="s">
        <v>119</v>
      </c>
      <c r="H123" s="88" t="s">
        <v>119</v>
      </c>
      <c r="I123" s="88" t="s">
        <v>119</v>
      </c>
      <c r="J123" s="89" t="s">
        <v>119</v>
      </c>
      <c r="K123" s="90" t="s">
        <v>119</v>
      </c>
      <c r="L123" s="91" t="s">
        <v>119</v>
      </c>
      <c r="M123" s="88" t="s">
        <v>120</v>
      </c>
      <c r="N123" s="91" t="s">
        <v>119</v>
      </c>
      <c r="O123" s="42"/>
      <c r="P123" s="11" t="str">
        <f>IF(COUNTIF(K123:N123,"Yes")&gt;0,"Yes",IF(COUNTIF(K123:N123,"Maybe")&gt;0,"Maybe","No"))</f>
        <v>Maybe</v>
      </c>
      <c r="Q123" s="42"/>
      <c r="R123" t="str">
        <f>IF(COUNTIF(L123:O123,"Yes")&gt;0,"Yes",IF(COUNTIF(L123:O123,"Maybe")&gt;1,"Maybe","No"))</f>
        <v>No</v>
      </c>
      <c r="S123" s="32" t="str">
        <f>IF(OR(P123="Yes", P123="Maybe"),B123,0)</f>
        <v>Waste-to-Energy Systems</v>
      </c>
      <c r="T123" s="11">
        <f t="shared" si="27"/>
        <v>0</v>
      </c>
      <c r="U123" s="11">
        <f t="shared" si="28"/>
        <v>0</v>
      </c>
      <c r="V123" s="11">
        <f t="shared" si="29"/>
        <v>0.5</v>
      </c>
      <c r="W123" s="17">
        <f t="shared" si="30"/>
        <v>0</v>
      </c>
      <c r="X123" s="17">
        <f t="shared" si="25"/>
        <v>0.125</v>
      </c>
      <c r="Y123" s="17">
        <f t="shared" si="26"/>
        <v>0</v>
      </c>
    </row>
    <row r="124" spans="1:25" x14ac:dyDescent="0.35">
      <c r="A124" s="7">
        <v>21.2</v>
      </c>
      <c r="B124" s="53" t="s">
        <v>383</v>
      </c>
      <c r="C124" t="s">
        <v>384</v>
      </c>
      <c r="D124" t="s">
        <v>385</v>
      </c>
      <c r="E124" s="31" t="s">
        <v>112</v>
      </c>
      <c r="F124" s="11" t="str">
        <f>IFERROR(VLOOKUP(B124,'Categories List'!B$2:C$36,2,FALSE),"")</f>
        <v/>
      </c>
      <c r="G124" s="26" t="s">
        <v>119</v>
      </c>
      <c r="H124" s="26" t="s">
        <v>119</v>
      </c>
      <c r="I124" s="26" t="s">
        <v>119</v>
      </c>
      <c r="J124" s="82" t="s">
        <v>119</v>
      </c>
      <c r="K124" s="17" t="s">
        <v>119</v>
      </c>
      <c r="L124" s="11" t="s">
        <v>119</v>
      </c>
      <c r="M124" s="26" t="s">
        <v>119</v>
      </c>
      <c r="N124" s="11" t="s">
        <v>119</v>
      </c>
      <c r="O124" s="42"/>
      <c r="P124" s="11" t="str">
        <f>IF(COUNTIF(K124:N124,"Yes")&gt;0,"Yes",IF(COUNTIF(K124:N124,"Maybe")&gt;0,"Maybe","No"))</f>
        <v>No</v>
      </c>
      <c r="Q124" s="42"/>
      <c r="R124" t="str">
        <f>IF(COUNTIF(L124:O124,"Yes")&gt;0,"Yes",IF(COUNTIF(L124:O124,"Maybe")&gt;1,"Maybe","No"))</f>
        <v>No</v>
      </c>
      <c r="S124" s="32"/>
      <c r="T124" s="11">
        <f t="shared" si="27"/>
        <v>0</v>
      </c>
      <c r="U124" s="11">
        <f t="shared" si="28"/>
        <v>0</v>
      </c>
      <c r="V124" s="11">
        <f t="shared" si="29"/>
        <v>0</v>
      </c>
      <c r="W124" s="17">
        <f t="shared" si="30"/>
        <v>0</v>
      </c>
      <c r="X124" s="17">
        <f t="shared" si="25"/>
        <v>0</v>
      </c>
      <c r="Y124" s="17">
        <f t="shared" si="26"/>
        <v>0</v>
      </c>
    </row>
    <row r="125" spans="1:25" x14ac:dyDescent="0.35">
      <c r="A125" s="7">
        <v>21.3</v>
      </c>
      <c r="B125" s="53" t="s">
        <v>386</v>
      </c>
      <c r="C125" t="s">
        <v>387</v>
      </c>
      <c r="E125" s="31" t="s">
        <v>112</v>
      </c>
      <c r="F125" s="11" t="str">
        <f>IFERROR(VLOOKUP(B125,'Categories List'!B$2:C$36,2,FALSE),"")</f>
        <v/>
      </c>
      <c r="G125" s="26" t="s">
        <v>119</v>
      </c>
      <c r="H125" s="26" t="s">
        <v>119</v>
      </c>
      <c r="I125" s="26" t="s">
        <v>119</v>
      </c>
      <c r="J125" s="82" t="s">
        <v>119</v>
      </c>
      <c r="K125" s="17" t="s">
        <v>119</v>
      </c>
      <c r="L125" s="11" t="s">
        <v>119</v>
      </c>
      <c r="M125" s="26" t="s">
        <v>119</v>
      </c>
      <c r="N125" s="11" t="s">
        <v>119</v>
      </c>
      <c r="O125" s="42"/>
      <c r="P125" s="11" t="str">
        <f>IF(COUNTIF(K125:N125,"Yes")&gt;0,"Yes",IF(COUNTIF(K125:N125,"Maybe")&gt;0,"Maybe","No"))</f>
        <v>No</v>
      </c>
      <c r="Q125" s="42"/>
      <c r="R125" t="str">
        <f>IF(COUNTIF(L125:O125,"Yes")&gt;0,"Yes",IF(COUNTIF(L125:O125,"Maybe")&gt;1,"Maybe","No"))</f>
        <v>No</v>
      </c>
      <c r="S125" s="32"/>
      <c r="T125" s="11">
        <f t="shared" si="27"/>
        <v>0</v>
      </c>
      <c r="U125" s="11">
        <f t="shared" si="28"/>
        <v>0</v>
      </c>
      <c r="V125" s="11">
        <f t="shared" si="29"/>
        <v>0</v>
      </c>
      <c r="W125" s="17">
        <f t="shared" si="30"/>
        <v>0</v>
      </c>
      <c r="X125" s="17">
        <f t="shared" si="25"/>
        <v>0</v>
      </c>
      <c r="Y125" s="17">
        <f t="shared" si="26"/>
        <v>0</v>
      </c>
    </row>
    <row r="126" spans="1:25" x14ac:dyDescent="0.35">
      <c r="A126" s="7">
        <v>21.4</v>
      </c>
      <c r="B126" s="53" t="s">
        <v>388</v>
      </c>
      <c r="C126" t="s">
        <v>389</v>
      </c>
      <c r="E126" s="31" t="s">
        <v>112</v>
      </c>
      <c r="F126" s="11" t="str">
        <f>IFERROR(VLOOKUP(B126,'Categories List'!B$2:C$36,2,FALSE),"")</f>
        <v/>
      </c>
      <c r="G126" s="27" t="s">
        <v>119</v>
      </c>
      <c r="H126" s="27" t="s">
        <v>119</v>
      </c>
      <c r="I126" s="27" t="s">
        <v>119</v>
      </c>
      <c r="J126" s="83" t="s">
        <v>119</v>
      </c>
      <c r="K126" s="20" t="s">
        <v>119</v>
      </c>
      <c r="L126" s="19" t="s">
        <v>119</v>
      </c>
      <c r="M126" s="27" t="s">
        <v>119</v>
      </c>
      <c r="N126" s="19" t="s">
        <v>119</v>
      </c>
      <c r="O126" s="42"/>
      <c r="P126" s="11" t="str">
        <f>IF(COUNTIF(K126:N126,"Yes")&gt;0,"Yes",IF(COUNTIF(K126:N126,"Maybe")&gt;0,"Maybe","No"))</f>
        <v>No</v>
      </c>
      <c r="Q126" s="42"/>
      <c r="R126" t="str">
        <f>IF(COUNTIF(L126:O126,"Yes")&gt;0,"Yes",IF(COUNTIF(L126:O126,"Maybe")&gt;1,"Maybe","No"))</f>
        <v>No</v>
      </c>
      <c r="S126" s="32"/>
      <c r="T126" s="11">
        <f t="shared" si="27"/>
        <v>0</v>
      </c>
      <c r="U126" s="11">
        <f t="shared" si="28"/>
        <v>0</v>
      </c>
      <c r="V126" s="11">
        <f t="shared" si="29"/>
        <v>0</v>
      </c>
      <c r="W126" s="17">
        <f t="shared" si="30"/>
        <v>0</v>
      </c>
      <c r="X126" s="17">
        <f t="shared" si="25"/>
        <v>0</v>
      </c>
      <c r="Y126" s="17">
        <f t="shared" si="26"/>
        <v>0</v>
      </c>
    </row>
    <row r="127" spans="1:25" ht="16" x14ac:dyDescent="0.35">
      <c r="A127" s="62">
        <v>22</v>
      </c>
      <c r="B127" s="63" t="s">
        <v>81</v>
      </c>
      <c r="C127" s="56"/>
      <c r="D127" s="56"/>
      <c r="E127" s="65" t="s">
        <v>284</v>
      </c>
      <c r="F127" s="61" t="str">
        <f>IFERROR(VLOOKUP(B127,'Categories List'!B$2:C$36,2,FALSE),"")</f>
        <v>Priority 3</v>
      </c>
      <c r="G127" s="26"/>
      <c r="H127" s="26"/>
      <c r="I127" s="26"/>
      <c r="J127" s="82"/>
      <c r="K127" s="17"/>
      <c r="L127" s="11"/>
      <c r="M127" s="26"/>
      <c r="N127" s="11"/>
      <c r="O127" s="42"/>
      <c r="Q127" s="42"/>
      <c r="S127" s="32"/>
      <c r="T127" s="11">
        <f t="shared" si="27"/>
        <v>0</v>
      </c>
      <c r="U127" s="11">
        <f t="shared" si="28"/>
        <v>0</v>
      </c>
      <c r="V127" s="11">
        <f t="shared" si="29"/>
        <v>0</v>
      </c>
      <c r="W127" s="17">
        <f t="shared" si="30"/>
        <v>0</v>
      </c>
      <c r="X127" s="17">
        <f t="shared" si="25"/>
        <v>0</v>
      </c>
      <c r="Y127" s="17">
        <f t="shared" si="26"/>
        <v>0</v>
      </c>
    </row>
    <row r="128" spans="1:25" x14ac:dyDescent="0.35">
      <c r="A128" s="7">
        <v>22.1</v>
      </c>
      <c r="B128" s="53" t="s">
        <v>390</v>
      </c>
      <c r="C128" t="s">
        <v>391</v>
      </c>
      <c r="D128" t="s">
        <v>392</v>
      </c>
      <c r="E128" s="31" t="s">
        <v>284</v>
      </c>
      <c r="F128" s="11" t="str">
        <f>IFERROR(VLOOKUP(B128,'Categories List'!B$2:C$36,2,FALSE),"")</f>
        <v/>
      </c>
      <c r="G128" s="61" t="s">
        <v>119</v>
      </c>
      <c r="H128" s="61" t="s">
        <v>119</v>
      </c>
      <c r="I128" s="61" t="s">
        <v>119</v>
      </c>
      <c r="J128" s="84" t="s">
        <v>119</v>
      </c>
      <c r="K128" s="64" t="s">
        <v>119</v>
      </c>
      <c r="L128" s="87" t="s">
        <v>119</v>
      </c>
      <c r="M128" s="61" t="s">
        <v>119</v>
      </c>
      <c r="N128" s="87" t="s">
        <v>120</v>
      </c>
      <c r="O128" s="42"/>
      <c r="P128" s="11" t="str">
        <f>IF(COUNTIF(K128:N128,"Yes")&gt;0,"Yes",IF(COUNTIF(K128:N128,"Maybe")&gt;0,"Maybe","No"))</f>
        <v>Maybe</v>
      </c>
      <c r="Q128" s="42"/>
      <c r="R128" t="str">
        <f>IF(COUNTIF(L128:O128,"Yes")&gt;0,"Yes",IF(COUNTIF(L128:O128,"Maybe")&gt;1,"Maybe","No"))</f>
        <v>No</v>
      </c>
      <c r="S128" s="32" t="str">
        <f>IF(OR(P128="Yes", P128="Maybe"),B128,0)</f>
        <v>CB-REC Platforms</v>
      </c>
      <c r="T128" s="11">
        <f t="shared" si="27"/>
        <v>0</v>
      </c>
      <c r="U128" s="11">
        <f t="shared" si="28"/>
        <v>0</v>
      </c>
      <c r="V128" s="11">
        <f t="shared" si="29"/>
        <v>0</v>
      </c>
      <c r="W128" s="17">
        <f t="shared" si="30"/>
        <v>0.5</v>
      </c>
      <c r="X128" s="17">
        <f t="shared" si="25"/>
        <v>0.125</v>
      </c>
      <c r="Y128" s="17">
        <f t="shared" si="26"/>
        <v>0</v>
      </c>
    </row>
    <row r="129" spans="1:25" ht="16" x14ac:dyDescent="0.35">
      <c r="A129" s="62">
        <v>23</v>
      </c>
      <c r="B129" s="63" t="s">
        <v>82</v>
      </c>
      <c r="C129" s="56"/>
      <c r="D129" s="56"/>
      <c r="E129" s="65" t="s">
        <v>191</v>
      </c>
      <c r="F129" s="55" t="str">
        <f>IFERROR(VLOOKUP(B129,'Categories List'!B$2:C$36,2,FALSE),"")</f>
        <v>Priority 1</v>
      </c>
      <c r="G129" s="26"/>
      <c r="H129" s="26"/>
      <c r="I129" s="26"/>
      <c r="J129" s="82"/>
      <c r="K129" s="17"/>
      <c r="L129" s="11"/>
      <c r="M129" s="26"/>
      <c r="N129" s="11"/>
      <c r="O129" s="42"/>
      <c r="Q129" s="42"/>
      <c r="S129" s="32"/>
      <c r="T129" s="11">
        <f t="shared" si="27"/>
        <v>0</v>
      </c>
      <c r="U129" s="11">
        <f t="shared" si="28"/>
        <v>0</v>
      </c>
      <c r="V129" s="11">
        <f t="shared" si="29"/>
        <v>0</v>
      </c>
      <c r="W129" s="17">
        <f t="shared" si="30"/>
        <v>0</v>
      </c>
      <c r="X129" s="17">
        <f t="shared" si="25"/>
        <v>0</v>
      </c>
      <c r="Y129" s="17">
        <f t="shared" si="26"/>
        <v>0</v>
      </c>
    </row>
    <row r="130" spans="1:25" x14ac:dyDescent="0.35">
      <c r="A130" s="7">
        <v>23.1</v>
      </c>
      <c r="B130" s="53" t="s">
        <v>393</v>
      </c>
      <c r="C130" t="s">
        <v>394</v>
      </c>
      <c r="D130" t="s">
        <v>395</v>
      </c>
      <c r="E130" s="31" t="s">
        <v>191</v>
      </c>
      <c r="F130" s="11" t="str">
        <f>IFERROR(VLOOKUP(B130,'Categories List'!B$2:C$36,2,FALSE),"")</f>
        <v/>
      </c>
      <c r="G130" s="88" t="s">
        <v>119</v>
      </c>
      <c r="H130" s="88" t="s">
        <v>119</v>
      </c>
      <c r="I130" s="88" t="s">
        <v>119</v>
      </c>
      <c r="J130" s="89" t="s">
        <v>118</v>
      </c>
      <c r="K130" s="90" t="s">
        <v>118</v>
      </c>
      <c r="L130" s="91" t="s">
        <v>118</v>
      </c>
      <c r="M130" s="88" t="s">
        <v>119</v>
      </c>
      <c r="N130" s="91" t="s">
        <v>118</v>
      </c>
      <c r="O130" s="42"/>
      <c r="P130" s="11" t="str">
        <f>IF(COUNTIF(K130:N130,"Yes")&gt;0,"Yes",IF(COUNTIF(K130:N130,"Maybe")&gt;0,"Maybe","No"))</f>
        <v>Yes</v>
      </c>
      <c r="Q130" s="42"/>
      <c r="R130" t="str">
        <f>IF(COUNTIF(L130:O130,"Yes")&gt;0,"Yes",IF(COUNTIF(L130:O130,"Maybe")&gt;1,"Maybe","No"))</f>
        <v>Yes</v>
      </c>
      <c r="S130" s="32" t="str">
        <f>IF(OR(P130="Yes", P130="Maybe"),B130,0)</f>
        <v>Energy Sharing Apps</v>
      </c>
      <c r="T130" s="11">
        <f t="shared" si="27"/>
        <v>1</v>
      </c>
      <c r="U130" s="11">
        <f t="shared" si="28"/>
        <v>1</v>
      </c>
      <c r="V130" s="11">
        <f t="shared" si="29"/>
        <v>0</v>
      </c>
      <c r="W130" s="17">
        <f t="shared" si="30"/>
        <v>1</v>
      </c>
      <c r="X130" s="17">
        <f t="shared" si="25"/>
        <v>0.75</v>
      </c>
      <c r="Y130" s="17">
        <f t="shared" si="26"/>
        <v>1</v>
      </c>
    </row>
    <row r="131" spans="1:25" x14ac:dyDescent="0.35">
      <c r="A131" s="7">
        <v>23.2</v>
      </c>
      <c r="B131" s="53" t="s">
        <v>396</v>
      </c>
      <c r="C131" t="s">
        <v>397</v>
      </c>
      <c r="E131" s="31" t="s">
        <v>191</v>
      </c>
      <c r="F131" s="11" t="str">
        <f>IFERROR(VLOOKUP(B131,'Categories List'!B$2:C$36,2,FALSE),"")</f>
        <v/>
      </c>
      <c r="G131" s="26" t="s">
        <v>119</v>
      </c>
      <c r="H131" s="26" t="s">
        <v>119</v>
      </c>
      <c r="I131" s="26" t="s">
        <v>119</v>
      </c>
      <c r="J131" s="82" t="s">
        <v>119</v>
      </c>
      <c r="K131" s="17" t="s">
        <v>119</v>
      </c>
      <c r="L131" s="11" t="s">
        <v>120</v>
      </c>
      <c r="M131" s="26" t="s">
        <v>118</v>
      </c>
      <c r="N131" s="11" t="s">
        <v>119</v>
      </c>
      <c r="O131" s="42"/>
      <c r="P131" s="11" t="str">
        <f>IF(COUNTIF(K131:N131,"Yes")&gt;0,"Yes",IF(COUNTIF(K131:N131,"Maybe")&gt;0,"Maybe","No"))</f>
        <v>Yes</v>
      </c>
      <c r="Q131" s="42"/>
      <c r="R131" t="str">
        <f>IF(COUNTIF(L131:O131,"Yes")&gt;0,"Yes",IF(COUNTIF(L131:O131,"Maybe")&gt;1,"Maybe","No"))</f>
        <v>Yes</v>
      </c>
      <c r="S131" s="32" t="str">
        <f>IF(OR(P131="Yes", P131="Maybe"),B131,0)</f>
        <v>Community Solar Gardens</v>
      </c>
      <c r="T131" s="11">
        <f t="shared" si="27"/>
        <v>0</v>
      </c>
      <c r="U131" s="11">
        <f t="shared" si="28"/>
        <v>0.5</v>
      </c>
      <c r="V131" s="11">
        <f t="shared" si="29"/>
        <v>1</v>
      </c>
      <c r="W131" s="17">
        <f t="shared" si="30"/>
        <v>0</v>
      </c>
      <c r="X131" s="17">
        <f t="shared" si="25"/>
        <v>0.375</v>
      </c>
      <c r="Y131" s="17">
        <f t="shared" si="26"/>
        <v>0</v>
      </c>
    </row>
    <row r="132" spans="1:25" x14ac:dyDescent="0.35">
      <c r="A132" s="7">
        <v>23.3</v>
      </c>
      <c r="B132" s="53" t="s">
        <v>398</v>
      </c>
      <c r="C132" t="s">
        <v>399</v>
      </c>
      <c r="D132" t="s">
        <v>400</v>
      </c>
      <c r="E132" s="31" t="s">
        <v>191</v>
      </c>
      <c r="F132" s="11" t="str">
        <f>IFERROR(VLOOKUP(B132,'Categories List'!B$2:C$36,2,FALSE),"")</f>
        <v/>
      </c>
      <c r="G132" s="26" t="s">
        <v>119</v>
      </c>
      <c r="H132" s="26" t="s">
        <v>119</v>
      </c>
      <c r="I132" s="26" t="s">
        <v>119</v>
      </c>
      <c r="J132" s="82" t="s">
        <v>119</v>
      </c>
      <c r="K132" s="17" t="s">
        <v>119</v>
      </c>
      <c r="L132" s="11" t="s">
        <v>120</v>
      </c>
      <c r="M132" s="26" t="s">
        <v>118</v>
      </c>
      <c r="N132" s="11" t="s">
        <v>120</v>
      </c>
      <c r="O132" s="42"/>
      <c r="P132" s="11" t="str">
        <f>IF(COUNTIF(K132:N132,"Yes")&gt;0,"Yes",IF(COUNTIF(K132:N132,"Maybe")&gt;0,"Maybe","No"))</f>
        <v>Yes</v>
      </c>
      <c r="Q132" s="42"/>
      <c r="R132" t="str">
        <f>IF(COUNTIF(L132:O132,"Yes")&gt;0,"Yes",IF(COUNTIF(L132:O132,"Maybe")&gt;1,"Maybe","No"))</f>
        <v>Yes</v>
      </c>
      <c r="S132" s="32" t="str">
        <f>IF(OR(P132="Yes", P132="Maybe"),B132,0)</f>
        <v>Energy Pooling Platforms</v>
      </c>
      <c r="T132" s="11">
        <f t="shared" si="27"/>
        <v>0</v>
      </c>
      <c r="U132" s="11">
        <f t="shared" si="28"/>
        <v>0.5</v>
      </c>
      <c r="V132" s="11">
        <f t="shared" si="29"/>
        <v>1</v>
      </c>
      <c r="W132" s="17">
        <f t="shared" si="30"/>
        <v>0.5</v>
      </c>
      <c r="X132" s="17">
        <f t="shared" si="25"/>
        <v>0.5</v>
      </c>
      <c r="Y132" s="17">
        <f t="shared" si="26"/>
        <v>1</v>
      </c>
    </row>
    <row r="133" spans="1:25" x14ac:dyDescent="0.35">
      <c r="A133" s="7">
        <v>23.4</v>
      </c>
      <c r="B133" s="53" t="s">
        <v>401</v>
      </c>
      <c r="C133" t="s">
        <v>402</v>
      </c>
      <c r="D133" t="s">
        <v>403</v>
      </c>
      <c r="E133" s="31" t="s">
        <v>191</v>
      </c>
      <c r="F133" s="11" t="str">
        <f>IFERROR(VLOOKUP(B133,'Categories List'!B$2:C$36,2,FALSE),"")</f>
        <v/>
      </c>
      <c r="G133" s="27" t="s">
        <v>119</v>
      </c>
      <c r="H133" s="27" t="s">
        <v>119</v>
      </c>
      <c r="I133" s="27" t="s">
        <v>119</v>
      </c>
      <c r="J133" s="83" t="s">
        <v>119</v>
      </c>
      <c r="K133" s="20" t="s">
        <v>119</v>
      </c>
      <c r="L133" s="19" t="s">
        <v>120</v>
      </c>
      <c r="M133" s="27" t="s">
        <v>119</v>
      </c>
      <c r="N133" s="19" t="s">
        <v>120</v>
      </c>
      <c r="O133" s="42"/>
      <c r="P133" s="11" t="str">
        <f>IF(COUNTIF(K133:N133,"Yes")&gt;0,"Yes",IF(COUNTIF(K133:N133,"Maybe")&gt;0,"Maybe","No"))</f>
        <v>Maybe</v>
      </c>
      <c r="Q133" s="42"/>
      <c r="R133" t="str">
        <f>IF(COUNTIF(L133:O133,"Yes")&gt;0,"Yes",IF(COUNTIF(L133:O133,"Maybe")&gt;1,"Maybe","No"))</f>
        <v>Maybe</v>
      </c>
      <c r="S133" s="32" t="str">
        <f>IF(OR(P133="Yes", P133="Maybe"),B133,0)</f>
        <v>Prosumer Aggregation Tools</v>
      </c>
      <c r="T133" s="11">
        <f t="shared" ref="T133:T165" si="31">IF(K133="Yes",1,IF(K133="Maybe",0.5,0))</f>
        <v>0</v>
      </c>
      <c r="U133" s="11">
        <f t="shared" ref="U133:U165" si="32">IF(L133="Yes",1,IF(L133="Maybe",0.5,0))</f>
        <v>0.5</v>
      </c>
      <c r="V133" s="11">
        <f t="shared" ref="V133:V165" si="33">IF(M133="Yes",1,IF(M133="Maybe",0.5,0))</f>
        <v>0</v>
      </c>
      <c r="W133" s="17">
        <f t="shared" ref="W133:W165" si="34">IF(N133="Yes",1,IF(N133="Maybe",0.5,0))</f>
        <v>0.5</v>
      </c>
      <c r="X133" s="17">
        <f t="shared" si="25"/>
        <v>0.25</v>
      </c>
      <c r="Y133" s="17">
        <f t="shared" si="26"/>
        <v>0</v>
      </c>
    </row>
    <row r="134" spans="1:25" ht="16" x14ac:dyDescent="0.35">
      <c r="A134" s="62">
        <v>24</v>
      </c>
      <c r="B134" s="63" t="s">
        <v>83</v>
      </c>
      <c r="C134" s="56"/>
      <c r="D134" s="56"/>
      <c r="E134" s="65" t="s">
        <v>233</v>
      </c>
      <c r="F134" s="61" t="str">
        <f>IFERROR(VLOOKUP(B134,'Categories List'!B$2:C$36,2,FALSE),"")</f>
        <v>Priority 3</v>
      </c>
      <c r="G134" s="26"/>
      <c r="H134" s="26"/>
      <c r="I134" s="26"/>
      <c r="J134" s="82"/>
      <c r="K134" s="17"/>
      <c r="L134" s="11"/>
      <c r="M134" s="26"/>
      <c r="N134" s="11"/>
      <c r="O134" s="42"/>
      <c r="Q134" s="42"/>
      <c r="S134" s="32"/>
      <c r="T134" s="11">
        <f t="shared" si="31"/>
        <v>0</v>
      </c>
      <c r="U134" s="11">
        <f t="shared" si="32"/>
        <v>0</v>
      </c>
      <c r="V134" s="11">
        <f t="shared" si="33"/>
        <v>0</v>
      </c>
      <c r="W134" s="17">
        <f t="shared" si="34"/>
        <v>0</v>
      </c>
      <c r="X134" s="17">
        <f t="shared" ref="X134:X181" si="35">SUM(T134:W134)/4</f>
        <v>0</v>
      </c>
      <c r="Y134" s="17">
        <f t="shared" ref="Y134:Y181" si="36">+IF(X134&gt;0.49,1,0)</f>
        <v>0</v>
      </c>
    </row>
    <row r="135" spans="1:25" x14ac:dyDescent="0.35">
      <c r="A135" s="7">
        <v>24.3</v>
      </c>
      <c r="B135" s="53" t="s">
        <v>404</v>
      </c>
      <c r="C135" t="s">
        <v>405</v>
      </c>
      <c r="D135" t="s">
        <v>406</v>
      </c>
      <c r="E135" s="31" t="s">
        <v>233</v>
      </c>
      <c r="F135" s="11" t="str">
        <f>IFERROR(VLOOKUP(B135,'Categories List'!B$2:C$36,2,FALSE),"")</f>
        <v/>
      </c>
      <c r="G135" s="88" t="s">
        <v>119</v>
      </c>
      <c r="H135" s="88" t="s">
        <v>119</v>
      </c>
      <c r="I135" s="88" t="s">
        <v>119</v>
      </c>
      <c r="J135" s="89" t="s">
        <v>119</v>
      </c>
      <c r="K135" s="90" t="s">
        <v>119</v>
      </c>
      <c r="L135" s="91" t="s">
        <v>119</v>
      </c>
      <c r="M135" s="88" t="s">
        <v>119</v>
      </c>
      <c r="N135" s="91" t="s">
        <v>118</v>
      </c>
      <c r="O135" s="42"/>
      <c r="P135" s="11" t="str">
        <f>IF(COUNTIF(K135:N135,"Yes")&gt;0,"Yes",IF(COUNTIF(K135:N135,"Maybe")&gt;0,"Maybe","No"))</f>
        <v>Yes</v>
      </c>
      <c r="Q135" s="42"/>
      <c r="R135" t="str">
        <f>IF(COUNTIF(L135:O135,"Yes")&gt;0,"Yes",IF(COUNTIF(L135:O135,"Maybe")&gt;1,"Maybe","No"))</f>
        <v>Yes</v>
      </c>
      <c r="S135" s="32" t="str">
        <f>IF(OR(P135="Yes", P135="Maybe"),B135,0)</f>
        <v>Adaptive Energy Management Systems</v>
      </c>
      <c r="T135" s="11">
        <f t="shared" si="31"/>
        <v>0</v>
      </c>
      <c r="U135" s="11">
        <f t="shared" si="32"/>
        <v>0</v>
      </c>
      <c r="V135" s="11">
        <f t="shared" si="33"/>
        <v>0</v>
      </c>
      <c r="W135" s="17">
        <f t="shared" si="34"/>
        <v>1</v>
      </c>
      <c r="X135" s="17">
        <f t="shared" si="35"/>
        <v>0.25</v>
      </c>
      <c r="Y135" s="17">
        <f t="shared" si="36"/>
        <v>0</v>
      </c>
    </row>
    <row r="136" spans="1:25" x14ac:dyDescent="0.35">
      <c r="A136" s="7">
        <v>24.4</v>
      </c>
      <c r="B136" s="53" t="s">
        <v>407</v>
      </c>
      <c r="C136" t="s">
        <v>408</v>
      </c>
      <c r="E136" s="31" t="s">
        <v>233</v>
      </c>
      <c r="F136" s="11" t="str">
        <f>IFERROR(VLOOKUP(B136,'Categories List'!B$2:C$36,2,FALSE),"")</f>
        <v/>
      </c>
      <c r="G136" s="27" t="s">
        <v>119</v>
      </c>
      <c r="H136" s="27" t="s">
        <v>119</v>
      </c>
      <c r="I136" s="27" t="s">
        <v>119</v>
      </c>
      <c r="J136" s="83" t="s">
        <v>119</v>
      </c>
      <c r="K136" s="20" t="s">
        <v>119</v>
      </c>
      <c r="L136" s="19" t="s">
        <v>119</v>
      </c>
      <c r="M136" s="27" t="s">
        <v>119</v>
      </c>
      <c r="N136" s="19" t="s">
        <v>119</v>
      </c>
      <c r="O136" s="42"/>
      <c r="P136" s="11" t="str">
        <f>IF(COUNTIF(K136:N136,"Yes")&gt;0,"Yes",IF(COUNTIF(K136:N136,"Maybe")&gt;0,"Maybe","No"))</f>
        <v>No</v>
      </c>
      <c r="Q136" s="42"/>
      <c r="R136" t="str">
        <f>IF(COUNTIF(L136:O136,"Yes")&gt;0,"Yes",IF(COUNTIF(L136:O136,"Maybe")&gt;1,"Maybe","No"))</f>
        <v>No</v>
      </c>
      <c r="S136" s="32"/>
      <c r="T136" s="11">
        <f t="shared" si="31"/>
        <v>0</v>
      </c>
      <c r="U136" s="11">
        <f t="shared" si="32"/>
        <v>0</v>
      </c>
      <c r="V136" s="11">
        <f t="shared" si="33"/>
        <v>0</v>
      </c>
      <c r="W136" s="17">
        <f t="shared" si="34"/>
        <v>0</v>
      </c>
      <c r="X136" s="17">
        <f t="shared" si="35"/>
        <v>0</v>
      </c>
      <c r="Y136" s="17">
        <f t="shared" si="36"/>
        <v>0</v>
      </c>
    </row>
    <row r="137" spans="1:25" ht="16" x14ac:dyDescent="0.35">
      <c r="A137" s="62">
        <v>25</v>
      </c>
      <c r="B137" s="63" t="s">
        <v>84</v>
      </c>
      <c r="C137" s="56"/>
      <c r="D137" s="56"/>
      <c r="E137" s="65" t="s">
        <v>359</v>
      </c>
      <c r="F137" s="58" t="str">
        <f>IFERROR(VLOOKUP(B137,'Categories List'!B$2:C$36,2,FALSE),"")</f>
        <v>Priority 2</v>
      </c>
      <c r="G137" s="26"/>
      <c r="H137" s="26"/>
      <c r="I137" s="26"/>
      <c r="J137" s="82"/>
      <c r="K137" s="17"/>
      <c r="L137" s="11"/>
      <c r="M137" s="26"/>
      <c r="N137" s="11"/>
      <c r="O137" s="42"/>
      <c r="Q137" s="42"/>
      <c r="S137" s="32"/>
      <c r="T137" s="11">
        <f t="shared" si="31"/>
        <v>0</v>
      </c>
      <c r="U137" s="11">
        <f t="shared" si="32"/>
        <v>0</v>
      </c>
      <c r="V137" s="11">
        <f t="shared" si="33"/>
        <v>0</v>
      </c>
      <c r="W137" s="17">
        <f t="shared" si="34"/>
        <v>0</v>
      </c>
      <c r="X137" s="17">
        <f t="shared" si="35"/>
        <v>0</v>
      </c>
      <c r="Y137" s="17">
        <f t="shared" si="36"/>
        <v>0</v>
      </c>
    </row>
    <row r="138" spans="1:25" x14ac:dyDescent="0.35">
      <c r="A138" s="7">
        <v>25.1</v>
      </c>
      <c r="B138" s="53" t="s">
        <v>409</v>
      </c>
      <c r="C138" t="s">
        <v>410</v>
      </c>
      <c r="D138" t="s">
        <v>411</v>
      </c>
      <c r="E138" s="31" t="s">
        <v>359</v>
      </c>
      <c r="F138" s="11" t="str">
        <f>IFERROR(VLOOKUP(B138,'Categories List'!B$2:C$36,2,FALSE),"")</f>
        <v/>
      </c>
      <c r="G138" s="88" t="s">
        <v>119</v>
      </c>
      <c r="H138" s="88" t="s">
        <v>119</v>
      </c>
      <c r="I138" s="88" t="s">
        <v>119</v>
      </c>
      <c r="J138" s="89" t="s">
        <v>119</v>
      </c>
      <c r="K138" s="90" t="s">
        <v>119</v>
      </c>
      <c r="L138" s="91" t="s">
        <v>119</v>
      </c>
      <c r="M138" s="88" t="s">
        <v>118</v>
      </c>
      <c r="N138" s="91" t="s">
        <v>120</v>
      </c>
      <c r="O138" s="42"/>
      <c r="P138" s="11" t="str">
        <f>IF(COUNTIF(K138:N138,"Yes")&gt;0,"Yes",IF(COUNTIF(K138:N138,"Maybe")&gt;0,"Maybe","No"))</f>
        <v>Yes</v>
      </c>
      <c r="Q138" s="42"/>
      <c r="R138" t="str">
        <f>IF(COUNTIF(L138:O138,"Yes")&gt;0,"Yes",IF(COUNTIF(L138:O138,"Maybe")&gt;1,"Maybe","No"))</f>
        <v>Yes</v>
      </c>
      <c r="S138" s="32" t="str">
        <f>IF(OR(P138="Yes", P138="Maybe"),B138,0)</f>
        <v>Energy Equity Platforms</v>
      </c>
      <c r="T138" s="11">
        <f t="shared" si="31"/>
        <v>0</v>
      </c>
      <c r="U138" s="11">
        <f t="shared" si="32"/>
        <v>0</v>
      </c>
      <c r="V138" s="11">
        <f t="shared" si="33"/>
        <v>1</v>
      </c>
      <c r="W138" s="17">
        <f t="shared" si="34"/>
        <v>0.5</v>
      </c>
      <c r="X138" s="17">
        <f t="shared" si="35"/>
        <v>0.375</v>
      </c>
      <c r="Y138" s="17">
        <f t="shared" si="36"/>
        <v>0</v>
      </c>
    </row>
    <row r="139" spans="1:25" x14ac:dyDescent="0.35">
      <c r="A139" s="7">
        <v>25.2</v>
      </c>
      <c r="B139" s="53" t="s">
        <v>412</v>
      </c>
      <c r="C139" t="s">
        <v>413</v>
      </c>
      <c r="E139" s="31" t="s">
        <v>359</v>
      </c>
      <c r="F139" s="11" t="str">
        <f>IFERROR(VLOOKUP(B139,'Categories List'!B$2:C$36,2,FALSE),"")</f>
        <v/>
      </c>
      <c r="G139" s="26" t="s">
        <v>119</v>
      </c>
      <c r="H139" s="26" t="s">
        <v>119</v>
      </c>
      <c r="I139" s="26" t="s">
        <v>119</v>
      </c>
      <c r="J139" s="82" t="s">
        <v>119</v>
      </c>
      <c r="K139" s="17" t="s">
        <v>119</v>
      </c>
      <c r="L139" s="11" t="s">
        <v>119</v>
      </c>
      <c r="M139" s="26" t="s">
        <v>118</v>
      </c>
      <c r="N139" s="11" t="s">
        <v>119</v>
      </c>
      <c r="O139" s="42"/>
      <c r="P139" s="11" t="str">
        <f>IF(COUNTIF(K139:N139,"Yes")&gt;0,"Yes",IF(COUNTIF(K139:N139,"Maybe")&gt;0,"Maybe","No"))</f>
        <v>Yes</v>
      </c>
      <c r="Q139" s="42"/>
      <c r="R139" t="str">
        <f>IF(COUNTIF(L139:O139,"Yes")&gt;0,"Yes",IF(COUNTIF(L139:O139,"Maybe")&gt;1,"Maybe","No"))</f>
        <v>Yes</v>
      </c>
      <c r="S139" s="32" t="str">
        <f>IF(OR(P139="Yes", P139="Maybe"),B139,0)</f>
        <v>Subsidy Management Systems</v>
      </c>
      <c r="T139" s="11">
        <f t="shared" si="31"/>
        <v>0</v>
      </c>
      <c r="U139" s="11">
        <f t="shared" si="32"/>
        <v>0</v>
      </c>
      <c r="V139" s="11">
        <f t="shared" si="33"/>
        <v>1</v>
      </c>
      <c r="W139" s="17">
        <f t="shared" si="34"/>
        <v>0</v>
      </c>
      <c r="X139" s="17">
        <f t="shared" si="35"/>
        <v>0.25</v>
      </c>
      <c r="Y139" s="17">
        <f t="shared" si="36"/>
        <v>0</v>
      </c>
    </row>
    <row r="140" spans="1:25" x14ac:dyDescent="0.35">
      <c r="A140" s="7">
        <v>25.3</v>
      </c>
      <c r="B140" s="53" t="s">
        <v>414</v>
      </c>
      <c r="C140" t="s">
        <v>415</v>
      </c>
      <c r="D140" t="s">
        <v>416</v>
      </c>
      <c r="E140" s="31" t="s">
        <v>359</v>
      </c>
      <c r="F140" s="11" t="str">
        <f>IFERROR(VLOOKUP(B140,'Categories List'!B$2:C$36,2,FALSE),"")</f>
        <v/>
      </c>
      <c r="G140" s="26" t="s">
        <v>119</v>
      </c>
      <c r="H140" s="26" t="s">
        <v>119</v>
      </c>
      <c r="I140" s="26" t="s">
        <v>119</v>
      </c>
      <c r="J140" s="82" t="s">
        <v>119</v>
      </c>
      <c r="K140" s="17" t="s">
        <v>119</v>
      </c>
      <c r="L140" s="11" t="s">
        <v>120</v>
      </c>
      <c r="M140" s="26" t="s">
        <v>118</v>
      </c>
      <c r="N140" s="11" t="s">
        <v>119</v>
      </c>
      <c r="O140" s="42"/>
      <c r="P140" s="11" t="str">
        <f>IF(COUNTIF(K140:N140,"Yes")&gt;0,"Yes",IF(COUNTIF(K140:N140,"Maybe")&gt;0,"Maybe","No"))</f>
        <v>Yes</v>
      </c>
      <c r="Q140" s="42"/>
      <c r="R140" t="str">
        <f>IF(COUNTIF(L140:O140,"Yes")&gt;0,"Yes",IF(COUNTIF(L140:O140,"Maybe")&gt;1,"Maybe","No"))</f>
        <v>Yes</v>
      </c>
      <c r="S140" s="32" t="str">
        <f>IF(OR(P140="Yes", P140="Maybe"),B140,0)</f>
        <v>Energy Poverty Alleviation Tools</v>
      </c>
      <c r="T140" s="11">
        <f t="shared" si="31"/>
        <v>0</v>
      </c>
      <c r="U140" s="11">
        <f t="shared" si="32"/>
        <v>0.5</v>
      </c>
      <c r="V140" s="11">
        <f t="shared" si="33"/>
        <v>1</v>
      </c>
      <c r="W140" s="17">
        <f t="shared" si="34"/>
        <v>0</v>
      </c>
      <c r="X140" s="17">
        <f t="shared" si="35"/>
        <v>0.375</v>
      </c>
      <c r="Y140" s="17">
        <f t="shared" si="36"/>
        <v>0</v>
      </c>
    </row>
    <row r="141" spans="1:25" x14ac:dyDescent="0.35">
      <c r="A141" s="7">
        <v>25.4</v>
      </c>
      <c r="B141" s="53" t="s">
        <v>417</v>
      </c>
      <c r="C141" t="s">
        <v>418</v>
      </c>
      <c r="D141" t="s">
        <v>419</v>
      </c>
      <c r="E141" s="31" t="s">
        <v>359</v>
      </c>
      <c r="F141" s="11" t="str">
        <f>IFERROR(VLOOKUP(B141,'Categories List'!B$2:C$36,2,FALSE),"")</f>
        <v/>
      </c>
      <c r="G141" s="27" t="s">
        <v>119</v>
      </c>
      <c r="H141" s="27" t="s">
        <v>119</v>
      </c>
      <c r="I141" s="27" t="s">
        <v>119</v>
      </c>
      <c r="J141" s="83" t="s">
        <v>119</v>
      </c>
      <c r="K141" s="20" t="s">
        <v>119</v>
      </c>
      <c r="L141" s="19" t="s">
        <v>120</v>
      </c>
      <c r="M141" s="27" t="s">
        <v>118</v>
      </c>
      <c r="N141" s="19" t="s">
        <v>120</v>
      </c>
      <c r="O141" s="42"/>
      <c r="P141" s="11" t="str">
        <f>IF(COUNTIF(K141:N141,"Yes")&gt;0,"Yes",IF(COUNTIF(K141:N141,"Maybe")&gt;0,"Maybe","No"))</f>
        <v>Yes</v>
      </c>
      <c r="Q141" s="42"/>
      <c r="R141" t="str">
        <f>IF(COUNTIF(L141:O141,"Yes")&gt;0,"Yes",IF(COUNTIF(L141:O141,"Maybe")&gt;1,"Maybe","No"))</f>
        <v>Yes</v>
      </c>
      <c r="S141" s="32" t="str">
        <f>IF(OR(P141="Yes", P141="Maybe"),B141,0)</f>
        <v>Community-Based Energy Access Programs</v>
      </c>
      <c r="T141" s="11">
        <f t="shared" si="31"/>
        <v>0</v>
      </c>
      <c r="U141" s="11">
        <f t="shared" si="32"/>
        <v>0.5</v>
      </c>
      <c r="V141" s="11">
        <f t="shared" si="33"/>
        <v>1</v>
      </c>
      <c r="W141" s="17">
        <f t="shared" si="34"/>
        <v>0.5</v>
      </c>
      <c r="X141" s="17">
        <f t="shared" si="35"/>
        <v>0.5</v>
      </c>
      <c r="Y141" s="17">
        <f t="shared" si="36"/>
        <v>1</v>
      </c>
    </row>
    <row r="142" spans="1:25" ht="16" x14ac:dyDescent="0.35">
      <c r="A142" s="62">
        <v>26</v>
      </c>
      <c r="B142" s="63" t="s">
        <v>85</v>
      </c>
      <c r="C142" s="56"/>
      <c r="D142" s="56"/>
      <c r="E142" s="65" t="s">
        <v>206</v>
      </c>
      <c r="F142" s="61" t="str">
        <f>IFERROR(VLOOKUP(B142,'Categories List'!B$2:C$36,2,FALSE),"")</f>
        <v>Priority 3</v>
      </c>
      <c r="G142" s="26"/>
      <c r="H142" s="26"/>
      <c r="I142" s="26"/>
      <c r="J142" s="82"/>
      <c r="K142" s="17"/>
      <c r="L142" s="11"/>
      <c r="M142" s="26"/>
      <c r="N142" s="11"/>
      <c r="O142" s="42"/>
      <c r="Q142" s="42"/>
      <c r="S142" s="32"/>
      <c r="T142" s="11">
        <f t="shared" si="31"/>
        <v>0</v>
      </c>
      <c r="U142" s="11">
        <f t="shared" si="32"/>
        <v>0</v>
      </c>
      <c r="V142" s="11">
        <f t="shared" si="33"/>
        <v>0</v>
      </c>
      <c r="W142" s="17">
        <f t="shared" si="34"/>
        <v>0</v>
      </c>
      <c r="X142" s="17">
        <f t="shared" si="35"/>
        <v>0</v>
      </c>
      <c r="Y142" s="17">
        <f t="shared" si="36"/>
        <v>0</v>
      </c>
    </row>
    <row r="143" spans="1:25" x14ac:dyDescent="0.35">
      <c r="A143" s="7">
        <v>26.2</v>
      </c>
      <c r="B143" s="53" t="s">
        <v>420</v>
      </c>
      <c r="C143" t="s">
        <v>421</v>
      </c>
      <c r="D143" t="s">
        <v>422</v>
      </c>
      <c r="E143" s="31" t="s">
        <v>206</v>
      </c>
      <c r="F143" s="11" t="str">
        <f>IFERROR(VLOOKUP(B143,'Categories List'!B$2:C$36,2,FALSE),"")</f>
        <v/>
      </c>
      <c r="G143" s="88" t="s">
        <v>119</v>
      </c>
      <c r="H143" s="88" t="s">
        <v>119</v>
      </c>
      <c r="I143" s="88" t="s">
        <v>119</v>
      </c>
      <c r="J143" s="89" t="s">
        <v>119</v>
      </c>
      <c r="K143" s="90" t="s">
        <v>119</v>
      </c>
      <c r="L143" s="91" t="s">
        <v>119</v>
      </c>
      <c r="M143" s="88" t="s">
        <v>119</v>
      </c>
      <c r="N143" s="91" t="s">
        <v>120</v>
      </c>
      <c r="O143" s="42"/>
      <c r="P143" s="11" t="str">
        <f>IF(COUNTIF(K143:N143,"Yes")&gt;0,"Yes",IF(COUNTIF(K143:N143,"Maybe")&gt;0,"Maybe","No"))</f>
        <v>Maybe</v>
      </c>
      <c r="Q143" s="42"/>
      <c r="R143" t="str">
        <f>IF(COUNTIF(L143:O143,"Yes")&gt;0,"Yes",IF(COUNTIF(L143:O143,"Maybe")&gt;1,"Maybe","No"))</f>
        <v>No</v>
      </c>
      <c r="S143" s="32" t="str">
        <f>IF(OR(P143="Yes", P143="Maybe"),B143,0)</f>
        <v>Simulation Tools</v>
      </c>
      <c r="T143" s="11">
        <f t="shared" si="31"/>
        <v>0</v>
      </c>
      <c r="U143" s="11">
        <f t="shared" si="32"/>
        <v>0</v>
      </c>
      <c r="V143" s="11">
        <f t="shared" si="33"/>
        <v>0</v>
      </c>
      <c r="W143" s="17">
        <f t="shared" si="34"/>
        <v>0.5</v>
      </c>
      <c r="X143" s="17">
        <f t="shared" si="35"/>
        <v>0.125</v>
      </c>
      <c r="Y143" s="17">
        <f t="shared" si="36"/>
        <v>0</v>
      </c>
    </row>
    <row r="144" spans="1:25" x14ac:dyDescent="0.35">
      <c r="A144" s="7">
        <v>26.3</v>
      </c>
      <c r="B144" s="53" t="s">
        <v>423</v>
      </c>
      <c r="C144" t="s">
        <v>424</v>
      </c>
      <c r="E144" s="31" t="s">
        <v>206</v>
      </c>
      <c r="F144" s="11" t="str">
        <f>IFERROR(VLOOKUP(B144,'Categories List'!B$2:C$36,2,FALSE),"")</f>
        <v/>
      </c>
      <c r="G144" s="26" t="s">
        <v>119</v>
      </c>
      <c r="H144" s="26" t="s">
        <v>119</v>
      </c>
      <c r="I144" s="26" t="s">
        <v>119</v>
      </c>
      <c r="J144" s="82" t="s">
        <v>119</v>
      </c>
      <c r="K144" s="17" t="s">
        <v>119</v>
      </c>
      <c r="L144" s="11" t="s">
        <v>120</v>
      </c>
      <c r="M144" s="26" t="s">
        <v>119</v>
      </c>
      <c r="N144" s="11" t="s">
        <v>120</v>
      </c>
      <c r="O144" s="42"/>
      <c r="P144" s="11" t="str">
        <f>IF(COUNTIF(K144:N144,"Yes")&gt;0,"Yes",IF(COUNTIF(K144:N144,"Maybe")&gt;0,"Maybe","No"))</f>
        <v>Maybe</v>
      </c>
      <c r="Q144" s="42"/>
      <c r="R144" t="str">
        <f>IF(COUNTIF(L144:O144,"Yes")&gt;0,"Yes",IF(COUNTIF(L144:O144,"Maybe")&gt;1,"Maybe","No"))</f>
        <v>Maybe</v>
      </c>
      <c r="S144" s="32" t="str">
        <f>IF(OR(P144="Yes", P144="Maybe"),B144,0)</f>
        <v>Energy Literacy Platforms</v>
      </c>
      <c r="T144" s="11">
        <f t="shared" si="31"/>
        <v>0</v>
      </c>
      <c r="U144" s="11">
        <f t="shared" si="32"/>
        <v>0.5</v>
      </c>
      <c r="V144" s="11">
        <f t="shared" si="33"/>
        <v>0</v>
      </c>
      <c r="W144" s="17">
        <f t="shared" si="34"/>
        <v>0.5</v>
      </c>
      <c r="X144" s="17">
        <f t="shared" si="35"/>
        <v>0.25</v>
      </c>
      <c r="Y144" s="17">
        <f t="shared" si="36"/>
        <v>0</v>
      </c>
    </row>
    <row r="145" spans="1:25" x14ac:dyDescent="0.35">
      <c r="A145" s="7">
        <v>26.4</v>
      </c>
      <c r="B145" s="53" t="s">
        <v>425</v>
      </c>
      <c r="C145" t="s">
        <v>426</v>
      </c>
      <c r="E145" s="31" t="s">
        <v>206</v>
      </c>
      <c r="F145" s="11" t="str">
        <f>IFERROR(VLOOKUP(B145,'Categories List'!B$2:C$36,2,FALSE),"")</f>
        <v/>
      </c>
      <c r="G145" s="27" t="s">
        <v>119</v>
      </c>
      <c r="H145" s="27" t="s">
        <v>119</v>
      </c>
      <c r="I145" s="27" t="s">
        <v>119</v>
      </c>
      <c r="J145" s="83" t="s">
        <v>119</v>
      </c>
      <c r="K145" s="20" t="s">
        <v>119</v>
      </c>
      <c r="L145" s="19" t="s">
        <v>119</v>
      </c>
      <c r="M145" s="27" t="s">
        <v>119</v>
      </c>
      <c r="N145" s="19" t="s">
        <v>119</v>
      </c>
      <c r="O145" s="42"/>
      <c r="P145" s="11" t="str">
        <f>IF(COUNTIF(K145:N145,"Yes")&gt;0,"Yes",IF(COUNTIF(K145:N145,"Maybe")&gt;0,"Maybe","No"))</f>
        <v>No</v>
      </c>
      <c r="Q145" s="42"/>
      <c r="R145" t="str">
        <f>IF(COUNTIF(L145:O145,"Yes")&gt;0,"Yes",IF(COUNTIF(L145:O145,"Maybe")&gt;1,"Maybe","No"))</f>
        <v>No</v>
      </c>
      <c r="S145" s="32"/>
      <c r="T145" s="11">
        <f t="shared" si="31"/>
        <v>0</v>
      </c>
      <c r="U145" s="11">
        <f t="shared" si="32"/>
        <v>0</v>
      </c>
      <c r="V145" s="11">
        <f t="shared" si="33"/>
        <v>0</v>
      </c>
      <c r="W145" s="17">
        <f t="shared" si="34"/>
        <v>0</v>
      </c>
      <c r="X145" s="17">
        <f t="shared" si="35"/>
        <v>0</v>
      </c>
      <c r="Y145" s="17">
        <f t="shared" si="36"/>
        <v>0</v>
      </c>
    </row>
    <row r="146" spans="1:25" ht="16" x14ac:dyDescent="0.35">
      <c r="A146" s="62">
        <v>27</v>
      </c>
      <c r="B146" s="63" t="s">
        <v>86</v>
      </c>
      <c r="C146" s="56"/>
      <c r="D146" s="56"/>
      <c r="E146" s="65" t="s">
        <v>191</v>
      </c>
      <c r="F146" s="61" t="str">
        <f>IFERROR(VLOOKUP(B146,'Categories List'!B$2:C$36,2,FALSE),"")</f>
        <v>Priority 3</v>
      </c>
      <c r="G146" s="26"/>
      <c r="H146" s="26"/>
      <c r="I146" s="26"/>
      <c r="J146" s="82"/>
      <c r="K146" s="17"/>
      <c r="L146" s="11"/>
      <c r="M146" s="26"/>
      <c r="N146" s="11"/>
      <c r="O146" s="42"/>
      <c r="Q146" s="42"/>
      <c r="S146" s="32"/>
      <c r="T146" s="11">
        <f t="shared" si="31"/>
        <v>0</v>
      </c>
      <c r="U146" s="11">
        <f t="shared" si="32"/>
        <v>0</v>
      </c>
      <c r="V146" s="11">
        <f t="shared" si="33"/>
        <v>0</v>
      </c>
      <c r="W146" s="17">
        <f t="shared" si="34"/>
        <v>0</v>
      </c>
      <c r="X146" s="17">
        <f t="shared" si="35"/>
        <v>0</v>
      </c>
      <c r="Y146" s="17">
        <f t="shared" si="36"/>
        <v>0</v>
      </c>
    </row>
    <row r="147" spans="1:25" x14ac:dyDescent="0.35">
      <c r="A147" s="7">
        <v>27.1</v>
      </c>
      <c r="B147" s="53" t="s">
        <v>427</v>
      </c>
      <c r="C147" t="s">
        <v>428</v>
      </c>
      <c r="D147" t="s">
        <v>429</v>
      </c>
      <c r="E147" s="31" t="s">
        <v>191</v>
      </c>
      <c r="F147" s="11" t="str">
        <f>IFERROR(VLOOKUP(B147,'Categories List'!B$2:C$36,2,FALSE),"")</f>
        <v/>
      </c>
      <c r="G147" s="88" t="s">
        <v>119</v>
      </c>
      <c r="H147" s="88" t="s">
        <v>119</v>
      </c>
      <c r="I147" s="88" t="s">
        <v>119</v>
      </c>
      <c r="J147" s="89" t="s">
        <v>119</v>
      </c>
      <c r="K147" s="90" t="s">
        <v>119</v>
      </c>
      <c r="L147" s="91" t="s">
        <v>119</v>
      </c>
      <c r="M147" s="88" t="s">
        <v>119</v>
      </c>
      <c r="N147" s="91" t="s">
        <v>119</v>
      </c>
      <c r="O147" s="42"/>
      <c r="P147" s="11" t="str">
        <f>IF(COUNTIF(K147:N147,"Yes")&gt;0,"Yes",IF(COUNTIF(K147:N147,"Maybe")&gt;0,"Maybe","No"))</f>
        <v>No</v>
      </c>
      <c r="Q147" s="42"/>
      <c r="R147" t="str">
        <f>IF(COUNTIF(L147:O147,"Yes")&gt;0,"Yes",IF(COUNTIF(L147:O147,"Maybe")&gt;1,"Maybe","No"))</f>
        <v>No</v>
      </c>
      <c r="S147" s="32"/>
      <c r="T147" s="11">
        <f t="shared" si="31"/>
        <v>0</v>
      </c>
      <c r="U147" s="11">
        <f t="shared" si="32"/>
        <v>0</v>
      </c>
      <c r="V147" s="11">
        <f t="shared" si="33"/>
        <v>0</v>
      </c>
      <c r="W147" s="17">
        <f t="shared" si="34"/>
        <v>0</v>
      </c>
      <c r="X147" s="17">
        <f t="shared" si="35"/>
        <v>0</v>
      </c>
      <c r="Y147" s="17">
        <f t="shared" si="36"/>
        <v>0</v>
      </c>
    </row>
    <row r="148" spans="1:25" x14ac:dyDescent="0.35">
      <c r="A148" s="7">
        <v>27.2</v>
      </c>
      <c r="B148" s="53" t="s">
        <v>430</v>
      </c>
      <c r="C148" t="s">
        <v>431</v>
      </c>
      <c r="E148" s="31" t="s">
        <v>191</v>
      </c>
      <c r="F148" s="11" t="str">
        <f>IFERROR(VLOOKUP(B148,'Categories List'!B$2:C$36,2,FALSE),"")</f>
        <v/>
      </c>
      <c r="G148" s="26" t="s">
        <v>119</v>
      </c>
      <c r="H148" s="26" t="s">
        <v>119</v>
      </c>
      <c r="I148" s="26" t="s">
        <v>119</v>
      </c>
      <c r="J148" s="82" t="s">
        <v>119</v>
      </c>
      <c r="K148" s="17" t="s">
        <v>119</v>
      </c>
      <c r="L148" s="11" t="s">
        <v>119</v>
      </c>
      <c r="M148" s="26" t="s">
        <v>119</v>
      </c>
      <c r="N148" s="11" t="s">
        <v>119</v>
      </c>
      <c r="O148" s="42"/>
      <c r="P148" s="11" t="str">
        <f>IF(COUNTIF(K148:N148,"Yes")&gt;0,"Yes",IF(COUNTIF(K148:N148,"Maybe")&gt;0,"Maybe","No"))</f>
        <v>No</v>
      </c>
      <c r="Q148" s="42"/>
      <c r="R148" t="str">
        <f>IF(COUNTIF(L148:O148,"Yes")&gt;0,"Yes",IF(COUNTIF(L148:O148,"Maybe")&gt;1,"Maybe","No"))</f>
        <v>No</v>
      </c>
      <c r="S148" s="32"/>
      <c r="T148" s="11">
        <f t="shared" si="31"/>
        <v>0</v>
      </c>
      <c r="U148" s="11">
        <f t="shared" si="32"/>
        <v>0</v>
      </c>
      <c r="V148" s="11">
        <f t="shared" si="33"/>
        <v>0</v>
      </c>
      <c r="W148" s="17">
        <f t="shared" si="34"/>
        <v>0</v>
      </c>
      <c r="X148" s="17">
        <f t="shared" si="35"/>
        <v>0</v>
      </c>
      <c r="Y148" s="17">
        <f t="shared" si="36"/>
        <v>0</v>
      </c>
    </row>
    <row r="149" spans="1:25" x14ac:dyDescent="0.35">
      <c r="A149" s="7">
        <v>27.3</v>
      </c>
      <c r="B149" s="53" t="s">
        <v>432</v>
      </c>
      <c r="C149" t="s">
        <v>433</v>
      </c>
      <c r="D149" t="s">
        <v>434</v>
      </c>
      <c r="E149" s="31" t="s">
        <v>191</v>
      </c>
      <c r="F149" s="11" t="str">
        <f>IFERROR(VLOOKUP(B149,'Categories List'!B$2:C$36,2,FALSE),"")</f>
        <v/>
      </c>
      <c r="G149" s="26" t="s">
        <v>119</v>
      </c>
      <c r="H149" s="26" t="s">
        <v>119</v>
      </c>
      <c r="I149" s="26" t="s">
        <v>119</v>
      </c>
      <c r="J149" s="82" t="s">
        <v>119</v>
      </c>
      <c r="K149" s="17" t="s">
        <v>119</v>
      </c>
      <c r="L149" s="11" t="s">
        <v>119</v>
      </c>
      <c r="M149" s="26" t="s">
        <v>119</v>
      </c>
      <c r="N149" s="11" t="s">
        <v>119</v>
      </c>
      <c r="O149" s="42"/>
      <c r="P149" s="11" t="str">
        <f>IF(COUNTIF(K149:N149,"Yes")&gt;0,"Yes",IF(COUNTIF(K149:N149,"Maybe")&gt;0,"Maybe","No"))</f>
        <v>No</v>
      </c>
      <c r="Q149" s="42"/>
      <c r="R149" t="str">
        <f>IF(COUNTIF(L149:O149,"Yes")&gt;0,"Yes",IF(COUNTIF(L149:O149,"Maybe")&gt;1,"Maybe","No"))</f>
        <v>No</v>
      </c>
      <c r="S149" s="32"/>
      <c r="T149" s="11">
        <f t="shared" si="31"/>
        <v>0</v>
      </c>
      <c r="U149" s="11">
        <f t="shared" si="32"/>
        <v>0</v>
      </c>
      <c r="V149" s="11">
        <f t="shared" si="33"/>
        <v>0</v>
      </c>
      <c r="W149" s="17">
        <f t="shared" si="34"/>
        <v>0</v>
      </c>
      <c r="X149" s="17">
        <f t="shared" si="35"/>
        <v>0</v>
      </c>
      <c r="Y149" s="17">
        <f t="shared" si="36"/>
        <v>0</v>
      </c>
    </row>
    <row r="150" spans="1:25" x14ac:dyDescent="0.35">
      <c r="A150" s="7">
        <v>27.4</v>
      </c>
      <c r="B150" s="53" t="s">
        <v>435</v>
      </c>
      <c r="C150" t="s">
        <v>436</v>
      </c>
      <c r="D150" t="s">
        <v>437</v>
      </c>
      <c r="E150" s="31" t="s">
        <v>191</v>
      </c>
      <c r="F150" s="11" t="str">
        <f>IFERROR(VLOOKUP(B150,'Categories List'!B$2:C$36,2,FALSE),"")</f>
        <v/>
      </c>
      <c r="G150" s="27" t="s">
        <v>119</v>
      </c>
      <c r="H150" s="27" t="s">
        <v>119</v>
      </c>
      <c r="I150" s="27" t="s">
        <v>119</v>
      </c>
      <c r="J150" s="83" t="s">
        <v>119</v>
      </c>
      <c r="K150" s="20" t="s">
        <v>119</v>
      </c>
      <c r="L150" s="19" t="s">
        <v>119</v>
      </c>
      <c r="M150" s="27" t="s">
        <v>119</v>
      </c>
      <c r="N150" s="19" t="s">
        <v>119</v>
      </c>
      <c r="O150" s="42"/>
      <c r="P150" s="11" t="str">
        <f>IF(COUNTIF(K150:N150,"Yes")&gt;0,"Yes",IF(COUNTIF(K150:N150,"Maybe")&gt;0,"Maybe","No"))</f>
        <v>No</v>
      </c>
      <c r="Q150" s="42"/>
      <c r="R150" t="str">
        <f>IF(COUNTIF(L150:O150,"Yes")&gt;0,"Yes",IF(COUNTIF(L150:O150,"Maybe")&gt;1,"Maybe","No"))</f>
        <v>No</v>
      </c>
      <c r="S150" s="32"/>
      <c r="T150" s="11">
        <f t="shared" si="31"/>
        <v>0</v>
      </c>
      <c r="U150" s="11">
        <f t="shared" si="32"/>
        <v>0</v>
      </c>
      <c r="V150" s="11">
        <f t="shared" si="33"/>
        <v>0</v>
      </c>
      <c r="W150" s="17">
        <f t="shared" si="34"/>
        <v>0</v>
      </c>
      <c r="X150" s="17">
        <f t="shared" si="35"/>
        <v>0</v>
      </c>
      <c r="Y150" s="17">
        <f t="shared" si="36"/>
        <v>0</v>
      </c>
    </row>
    <row r="151" spans="1:25" ht="16" x14ac:dyDescent="0.35">
      <c r="A151" s="62">
        <v>28</v>
      </c>
      <c r="B151" s="63" t="s">
        <v>87</v>
      </c>
      <c r="C151" s="56"/>
      <c r="D151" s="56"/>
      <c r="E151" s="65" t="s">
        <v>346</v>
      </c>
      <c r="F151" s="55" t="str">
        <f>IFERROR(VLOOKUP(B151,'Categories List'!B$2:C$36,2,FALSE),"")</f>
        <v>Priority 1</v>
      </c>
      <c r="G151" s="26"/>
      <c r="H151" s="26"/>
      <c r="I151" s="26"/>
      <c r="J151" s="82"/>
      <c r="K151" s="17"/>
      <c r="L151" s="11"/>
      <c r="M151" s="26"/>
      <c r="N151" s="11"/>
      <c r="O151" s="42"/>
      <c r="Q151" s="42"/>
      <c r="S151" s="32"/>
      <c r="T151" s="11">
        <f t="shared" si="31"/>
        <v>0</v>
      </c>
      <c r="U151" s="11">
        <f t="shared" si="32"/>
        <v>0</v>
      </c>
      <c r="V151" s="11">
        <f t="shared" si="33"/>
        <v>0</v>
      </c>
      <c r="W151" s="17">
        <f t="shared" si="34"/>
        <v>0</v>
      </c>
      <c r="X151" s="17">
        <f t="shared" si="35"/>
        <v>0</v>
      </c>
      <c r="Y151" s="17">
        <f t="shared" si="36"/>
        <v>0</v>
      </c>
    </row>
    <row r="152" spans="1:25" x14ac:dyDescent="0.35">
      <c r="A152" s="7">
        <v>28.1</v>
      </c>
      <c r="B152" s="53" t="s">
        <v>438</v>
      </c>
      <c r="C152" t="s">
        <v>439</v>
      </c>
      <c r="D152" t="s">
        <v>440</v>
      </c>
      <c r="E152" s="31" t="s">
        <v>346</v>
      </c>
      <c r="F152" s="11" t="str">
        <f>IFERROR(VLOOKUP(B152,'Categories List'!B$2:C$36,2,FALSE),"")</f>
        <v/>
      </c>
      <c r="G152" s="88" t="s">
        <v>119</v>
      </c>
      <c r="H152" s="88" t="s">
        <v>119</v>
      </c>
      <c r="I152" s="88" t="s">
        <v>119</v>
      </c>
      <c r="J152" s="89" t="s">
        <v>119</v>
      </c>
      <c r="K152" s="90" t="s">
        <v>120</v>
      </c>
      <c r="L152" s="91" t="s">
        <v>118</v>
      </c>
      <c r="M152" s="88" t="s">
        <v>118</v>
      </c>
      <c r="N152" s="91" t="s">
        <v>119</v>
      </c>
      <c r="O152" s="42"/>
      <c r="P152" s="11" t="str">
        <f t="shared" ref="P152:P158" si="37">IF(COUNTIF(K152:N152,"Yes")&gt;0,"Yes",IF(COUNTIF(K152:N152,"Maybe")&gt;0,"Maybe","No"))</f>
        <v>Yes</v>
      </c>
      <c r="Q152" s="42"/>
      <c r="R152" t="str">
        <f t="shared" ref="R152:R158" si="38">IF(COUNTIF(L152:O152,"Yes")&gt;0,"Yes",IF(COUNTIF(L152:O152,"Maybe")&gt;1,"Maybe","No"))</f>
        <v>Yes</v>
      </c>
      <c r="S152" s="32" t="str">
        <f t="shared" ref="S152:S158" si="39">IF(OR(P152="Yes", P152="Maybe"),B152,0)</f>
        <v>DSO level modelling</v>
      </c>
      <c r="T152" s="11">
        <f t="shared" si="31"/>
        <v>0.5</v>
      </c>
      <c r="U152" s="11">
        <f t="shared" si="32"/>
        <v>1</v>
      </c>
      <c r="V152" s="11">
        <f t="shared" si="33"/>
        <v>1</v>
      </c>
      <c r="W152" s="17">
        <f t="shared" si="34"/>
        <v>0</v>
      </c>
      <c r="X152" s="17">
        <f t="shared" si="35"/>
        <v>0.625</v>
      </c>
      <c r="Y152" s="17">
        <f t="shared" si="36"/>
        <v>1</v>
      </c>
    </row>
    <row r="153" spans="1:25" x14ac:dyDescent="0.35">
      <c r="A153" s="7">
        <v>28.2</v>
      </c>
      <c r="B153" s="53" t="s">
        <v>441</v>
      </c>
      <c r="C153" t="s">
        <v>442</v>
      </c>
      <c r="D153" t="s">
        <v>443</v>
      </c>
      <c r="E153" s="31" t="s">
        <v>346</v>
      </c>
      <c r="F153" s="11" t="str">
        <f>IFERROR(VLOOKUP(B153,'Categories List'!B$2:C$36,2,FALSE),"")</f>
        <v/>
      </c>
      <c r="G153" s="26" t="s">
        <v>119</v>
      </c>
      <c r="H153" s="26" t="s">
        <v>119</v>
      </c>
      <c r="I153" s="26" t="s">
        <v>119</v>
      </c>
      <c r="J153" s="82" t="s">
        <v>119</v>
      </c>
      <c r="K153" s="17" t="s">
        <v>120</v>
      </c>
      <c r="L153" s="11" t="s">
        <v>118</v>
      </c>
      <c r="M153" s="26" t="s">
        <v>118</v>
      </c>
      <c r="N153" s="11" t="s">
        <v>120</v>
      </c>
      <c r="O153" s="42"/>
      <c r="P153" s="11" t="str">
        <f t="shared" si="37"/>
        <v>Yes</v>
      </c>
      <c r="Q153" s="42"/>
      <c r="R153" t="str">
        <f t="shared" si="38"/>
        <v>Yes</v>
      </c>
      <c r="S153" s="32" t="str">
        <f t="shared" si="39"/>
        <v>Community level Modelling</v>
      </c>
      <c r="T153" s="11">
        <f t="shared" si="31"/>
        <v>0.5</v>
      </c>
      <c r="U153" s="11">
        <f t="shared" si="32"/>
        <v>1</v>
      </c>
      <c r="V153" s="11">
        <f t="shared" si="33"/>
        <v>1</v>
      </c>
      <c r="W153" s="17">
        <f t="shared" si="34"/>
        <v>0.5</v>
      </c>
      <c r="X153" s="17">
        <f t="shared" si="35"/>
        <v>0.75</v>
      </c>
      <c r="Y153" s="17">
        <f t="shared" si="36"/>
        <v>1</v>
      </c>
    </row>
    <row r="154" spans="1:25" x14ac:dyDescent="0.35">
      <c r="A154" s="7">
        <v>28.3</v>
      </c>
      <c r="B154" s="53" t="s">
        <v>444</v>
      </c>
      <c r="C154" t="s">
        <v>445</v>
      </c>
      <c r="D154" t="s">
        <v>446</v>
      </c>
      <c r="E154" s="31" t="s">
        <v>346</v>
      </c>
      <c r="F154" s="11" t="str">
        <f>IFERROR(VLOOKUP(B154,'Categories List'!B$2:C$36,2,FALSE),"")</f>
        <v/>
      </c>
      <c r="G154" s="26" t="s">
        <v>119</v>
      </c>
      <c r="H154" s="26" t="s">
        <v>119</v>
      </c>
      <c r="I154" s="26" t="s">
        <v>119</v>
      </c>
      <c r="J154" s="82" t="s">
        <v>119</v>
      </c>
      <c r="K154" s="17" t="s">
        <v>120</v>
      </c>
      <c r="L154" s="11" t="s">
        <v>120</v>
      </c>
      <c r="M154" s="26" t="s">
        <v>118</v>
      </c>
      <c r="N154" s="11" t="s">
        <v>120</v>
      </c>
      <c r="O154" s="42"/>
      <c r="P154" s="11" t="str">
        <f t="shared" si="37"/>
        <v>Yes</v>
      </c>
      <c r="Q154" s="42"/>
      <c r="R154" t="str">
        <f t="shared" si="38"/>
        <v>Yes</v>
      </c>
      <c r="S154" s="32" t="str">
        <f t="shared" si="39"/>
        <v>Individual Unit modelling</v>
      </c>
      <c r="T154" s="11">
        <f t="shared" si="31"/>
        <v>0.5</v>
      </c>
      <c r="U154" s="11">
        <f t="shared" si="32"/>
        <v>0.5</v>
      </c>
      <c r="V154" s="11">
        <f t="shared" si="33"/>
        <v>1</v>
      </c>
      <c r="W154" s="17">
        <f t="shared" si="34"/>
        <v>0.5</v>
      </c>
      <c r="X154" s="17">
        <f t="shared" si="35"/>
        <v>0.625</v>
      </c>
      <c r="Y154" s="17">
        <f t="shared" si="36"/>
        <v>1</v>
      </c>
    </row>
    <row r="155" spans="1:25" x14ac:dyDescent="0.35">
      <c r="A155" s="7">
        <v>28.4</v>
      </c>
      <c r="B155" s="53" t="s">
        <v>447</v>
      </c>
      <c r="C155" t="s">
        <v>448</v>
      </c>
      <c r="D155" t="s">
        <v>449</v>
      </c>
      <c r="E155" s="31" t="s">
        <v>346</v>
      </c>
      <c r="F155" s="11" t="str">
        <f>IFERROR(VLOOKUP(B155,'Categories List'!B$2:C$36,2,FALSE),"")</f>
        <v/>
      </c>
      <c r="G155" s="26" t="s">
        <v>119</v>
      </c>
      <c r="H155" s="26" t="s">
        <v>119</v>
      </c>
      <c r="I155" s="26" t="s">
        <v>119</v>
      </c>
      <c r="J155" s="82" t="s">
        <v>119</v>
      </c>
      <c r="K155" s="17" t="s">
        <v>120</v>
      </c>
      <c r="L155" s="11" t="s">
        <v>120</v>
      </c>
      <c r="M155" s="26" t="s">
        <v>118</v>
      </c>
      <c r="N155" s="11" t="s">
        <v>119</v>
      </c>
      <c r="O155" s="42"/>
      <c r="P155" s="11" t="str">
        <f t="shared" si="37"/>
        <v>Yes</v>
      </c>
      <c r="Q155" s="42"/>
      <c r="R155" t="str">
        <f t="shared" si="38"/>
        <v>Yes</v>
      </c>
      <c r="S155" s="32" t="str">
        <f t="shared" si="39"/>
        <v>Energy System Simulation Tools (e.g., HOMER, PLEXOS)</v>
      </c>
      <c r="T155" s="11">
        <f t="shared" si="31"/>
        <v>0.5</v>
      </c>
      <c r="U155" s="11">
        <f t="shared" si="32"/>
        <v>0.5</v>
      </c>
      <c r="V155" s="11">
        <f t="shared" si="33"/>
        <v>1</v>
      </c>
      <c r="W155" s="17">
        <f t="shared" si="34"/>
        <v>0</v>
      </c>
      <c r="X155" s="17">
        <f t="shared" si="35"/>
        <v>0.5</v>
      </c>
      <c r="Y155" s="17">
        <f t="shared" si="36"/>
        <v>1</v>
      </c>
    </row>
    <row r="156" spans="1:25" x14ac:dyDescent="0.35">
      <c r="A156" s="7">
        <v>28.5</v>
      </c>
      <c r="B156" s="53" t="s">
        <v>450</v>
      </c>
      <c r="C156" t="s">
        <v>451</v>
      </c>
      <c r="D156" t="s">
        <v>452</v>
      </c>
      <c r="E156" s="31" t="s">
        <v>346</v>
      </c>
      <c r="F156" s="11" t="str">
        <f>IFERROR(VLOOKUP(B156,'Categories List'!B$2:C$36,2,FALSE),"")</f>
        <v/>
      </c>
      <c r="G156" s="26" t="s">
        <v>119</v>
      </c>
      <c r="H156" s="26" t="s">
        <v>119</v>
      </c>
      <c r="I156" s="26" t="s">
        <v>119</v>
      </c>
      <c r="J156" s="82" t="s">
        <v>119</v>
      </c>
      <c r="K156" s="17" t="s">
        <v>120</v>
      </c>
      <c r="L156" s="11" t="s">
        <v>120</v>
      </c>
      <c r="M156" s="26" t="s">
        <v>119</v>
      </c>
      <c r="N156" s="11" t="s">
        <v>119</v>
      </c>
      <c r="O156" s="42"/>
      <c r="P156" s="11" t="str">
        <f t="shared" si="37"/>
        <v>Maybe</v>
      </c>
      <c r="Q156" s="42"/>
      <c r="R156" t="str">
        <f t="shared" si="38"/>
        <v>No</v>
      </c>
      <c r="S156" s="32" t="str">
        <f t="shared" si="39"/>
        <v>Scenario Analysis Tools</v>
      </c>
      <c r="T156" s="11">
        <f t="shared" si="31"/>
        <v>0.5</v>
      </c>
      <c r="U156" s="11">
        <f t="shared" si="32"/>
        <v>0.5</v>
      </c>
      <c r="V156" s="11">
        <f t="shared" si="33"/>
        <v>0</v>
      </c>
      <c r="W156" s="17">
        <f t="shared" si="34"/>
        <v>0</v>
      </c>
      <c r="X156" s="17">
        <f t="shared" si="35"/>
        <v>0.25</v>
      </c>
      <c r="Y156" s="17">
        <f t="shared" si="36"/>
        <v>0</v>
      </c>
    </row>
    <row r="157" spans="1:25" x14ac:dyDescent="0.35">
      <c r="A157" s="7">
        <v>28.6</v>
      </c>
      <c r="B157" s="53" t="s">
        <v>453</v>
      </c>
      <c r="C157" t="s">
        <v>454</v>
      </c>
      <c r="D157" t="s">
        <v>455</v>
      </c>
      <c r="E157" s="31" t="s">
        <v>346</v>
      </c>
      <c r="F157" s="11" t="str">
        <f>IFERROR(VLOOKUP(B157,'Categories List'!B$2:C$36,2,FALSE),"")</f>
        <v/>
      </c>
      <c r="G157" s="26" t="s">
        <v>119</v>
      </c>
      <c r="H157" s="26" t="s">
        <v>119</v>
      </c>
      <c r="I157" s="26" t="s">
        <v>119</v>
      </c>
      <c r="J157" s="82" t="s">
        <v>119</v>
      </c>
      <c r="K157" s="17" t="s">
        <v>120</v>
      </c>
      <c r="L157" s="11" t="s">
        <v>120</v>
      </c>
      <c r="M157" s="26" t="s">
        <v>118</v>
      </c>
      <c r="N157" s="11" t="s">
        <v>120</v>
      </c>
      <c r="O157" s="42"/>
      <c r="P157" s="11" t="str">
        <f t="shared" si="37"/>
        <v>Yes</v>
      </c>
      <c r="Q157" s="42"/>
      <c r="R157" t="str">
        <f t="shared" si="38"/>
        <v>Yes</v>
      </c>
      <c r="S157" s="32" t="str">
        <f t="shared" si="39"/>
        <v>Collaborative Decision-Making Platforms</v>
      </c>
      <c r="T157" s="11">
        <f t="shared" si="31"/>
        <v>0.5</v>
      </c>
      <c r="U157" s="11">
        <f t="shared" si="32"/>
        <v>0.5</v>
      </c>
      <c r="V157" s="11">
        <f t="shared" si="33"/>
        <v>1</v>
      </c>
      <c r="W157" s="17">
        <f t="shared" si="34"/>
        <v>0.5</v>
      </c>
      <c r="X157" s="17">
        <f t="shared" si="35"/>
        <v>0.625</v>
      </c>
      <c r="Y157" s="17">
        <f>+IF(X157&gt;0.49,1,0)</f>
        <v>1</v>
      </c>
    </row>
    <row r="158" spans="1:25" x14ac:dyDescent="0.35">
      <c r="A158" s="7">
        <v>28.7</v>
      </c>
      <c r="B158" s="53" t="s">
        <v>456</v>
      </c>
      <c r="C158" t="s">
        <v>457</v>
      </c>
      <c r="E158" s="31" t="s">
        <v>346</v>
      </c>
      <c r="F158" s="11" t="str">
        <f>IFERROR(VLOOKUP(B158,'Categories List'!B$2:C$36,2,FALSE),"")</f>
        <v/>
      </c>
      <c r="G158" s="27" t="s">
        <v>119</v>
      </c>
      <c r="H158" s="27" t="s">
        <v>119</v>
      </c>
      <c r="I158" s="27" t="s">
        <v>119</v>
      </c>
      <c r="J158" s="83" t="s">
        <v>119</v>
      </c>
      <c r="K158" s="20" t="s">
        <v>120</v>
      </c>
      <c r="L158" s="19" t="s">
        <v>120</v>
      </c>
      <c r="M158" s="27" t="s">
        <v>119</v>
      </c>
      <c r="N158" s="19" t="s">
        <v>119</v>
      </c>
      <c r="O158" s="42"/>
      <c r="P158" s="11" t="str">
        <f t="shared" si="37"/>
        <v>Maybe</v>
      </c>
      <c r="Q158" s="42"/>
      <c r="R158" t="str">
        <f t="shared" si="38"/>
        <v>No</v>
      </c>
      <c r="S158" s="32" t="str">
        <f t="shared" si="39"/>
        <v>Digital Twins for Community Energy Systems</v>
      </c>
      <c r="T158" s="11">
        <f t="shared" si="31"/>
        <v>0.5</v>
      </c>
      <c r="U158" s="11">
        <f t="shared" si="32"/>
        <v>0.5</v>
      </c>
      <c r="V158" s="11">
        <f t="shared" si="33"/>
        <v>0</v>
      </c>
      <c r="W158" s="17">
        <f t="shared" si="34"/>
        <v>0</v>
      </c>
      <c r="X158" s="17">
        <f t="shared" si="35"/>
        <v>0.25</v>
      </c>
      <c r="Y158" s="17">
        <f t="shared" si="36"/>
        <v>0</v>
      </c>
    </row>
    <row r="159" spans="1:25" ht="16" x14ac:dyDescent="0.35">
      <c r="A159" s="62">
        <v>29</v>
      </c>
      <c r="B159" s="63" t="s">
        <v>88</v>
      </c>
      <c r="C159" s="56"/>
      <c r="D159" s="56"/>
      <c r="E159" s="65" t="s">
        <v>346</v>
      </c>
      <c r="F159" s="61" t="str">
        <f>IFERROR(VLOOKUP(B159,'Categories List'!B$2:C$36,2,FALSE),"")</f>
        <v>Priority 3</v>
      </c>
      <c r="G159" s="26"/>
      <c r="H159" s="26"/>
      <c r="I159" s="26"/>
      <c r="J159" s="82"/>
      <c r="K159" s="17"/>
      <c r="L159" s="11"/>
      <c r="M159" s="26"/>
      <c r="N159" s="11"/>
      <c r="O159" s="42"/>
      <c r="Q159" s="42"/>
      <c r="S159" s="32"/>
      <c r="T159" s="11">
        <f t="shared" si="31"/>
        <v>0</v>
      </c>
      <c r="U159" s="11">
        <f t="shared" si="32"/>
        <v>0</v>
      </c>
      <c r="V159" s="11">
        <f t="shared" si="33"/>
        <v>0</v>
      </c>
      <c r="W159" s="17">
        <f t="shared" si="34"/>
        <v>0</v>
      </c>
      <c r="X159" s="17">
        <f t="shared" si="35"/>
        <v>0</v>
      </c>
      <c r="Y159" s="17">
        <f t="shared" si="36"/>
        <v>0</v>
      </c>
    </row>
    <row r="160" spans="1:25" x14ac:dyDescent="0.35">
      <c r="A160" s="7">
        <v>29.1</v>
      </c>
      <c r="B160" s="53" t="s">
        <v>458</v>
      </c>
      <c r="C160" s="289" t="s">
        <v>3304</v>
      </c>
      <c r="E160" s="31" t="s">
        <v>346</v>
      </c>
      <c r="F160" s="11" t="str">
        <f>IFERROR(VLOOKUP(B160,'Categories List'!B$2:C$36,2,FALSE),"")</f>
        <v/>
      </c>
      <c r="G160" s="88" t="s">
        <v>119</v>
      </c>
      <c r="H160" s="88" t="s">
        <v>119</v>
      </c>
      <c r="I160" s="88" t="s">
        <v>119</v>
      </c>
      <c r="J160" s="89" t="s">
        <v>119</v>
      </c>
      <c r="K160" s="90" t="s">
        <v>119</v>
      </c>
      <c r="L160" s="91" t="s">
        <v>119</v>
      </c>
      <c r="M160" s="88" t="s">
        <v>119</v>
      </c>
      <c r="N160" s="91" t="s">
        <v>119</v>
      </c>
      <c r="O160" s="42"/>
      <c r="P160" s="11" t="str">
        <f>IF(COUNTIF(K160:N160,"Yes")&gt;0,"Yes",IF(COUNTIF(K160:N160,"Maybe")&gt;0,"Maybe","No"))</f>
        <v>No</v>
      </c>
      <c r="Q160" s="42"/>
      <c r="R160" t="str">
        <f>IF(COUNTIF(L160:O160,"Yes")&gt;0,"Yes",IF(COUNTIF(L160:O160,"Maybe")&gt;1,"Maybe","No"))</f>
        <v>No</v>
      </c>
      <c r="S160" s="32"/>
      <c r="T160" s="11">
        <f t="shared" si="31"/>
        <v>0</v>
      </c>
      <c r="U160" s="11">
        <f t="shared" si="32"/>
        <v>0</v>
      </c>
      <c r="V160" s="11">
        <f t="shared" si="33"/>
        <v>0</v>
      </c>
      <c r="W160" s="17">
        <f t="shared" si="34"/>
        <v>0</v>
      </c>
      <c r="X160" s="17">
        <f t="shared" si="35"/>
        <v>0</v>
      </c>
      <c r="Y160" s="17">
        <f t="shared" si="36"/>
        <v>0</v>
      </c>
    </row>
    <row r="161" spans="1:25" x14ac:dyDescent="0.35">
      <c r="A161" s="7">
        <v>29.2</v>
      </c>
      <c r="B161" s="53" t="s">
        <v>459</v>
      </c>
      <c r="C161" s="289" t="s">
        <v>3305</v>
      </c>
      <c r="E161" s="31" t="s">
        <v>346</v>
      </c>
      <c r="F161" s="11" t="str">
        <f>IFERROR(VLOOKUP(B161,'Categories List'!B$2:C$36,2,FALSE),"")</f>
        <v/>
      </c>
      <c r="G161" s="26" t="s">
        <v>119</v>
      </c>
      <c r="H161" s="26" t="s">
        <v>119</v>
      </c>
      <c r="I161" s="26" t="s">
        <v>119</v>
      </c>
      <c r="J161" s="82" t="s">
        <v>119</v>
      </c>
      <c r="K161" s="17" t="s">
        <v>119</v>
      </c>
      <c r="L161" s="11" t="s">
        <v>119</v>
      </c>
      <c r="M161" s="26" t="s">
        <v>119</v>
      </c>
      <c r="N161" s="11" t="s">
        <v>119</v>
      </c>
      <c r="O161" s="42"/>
      <c r="P161" s="11" t="str">
        <f>IF(COUNTIF(K161:N161,"Yes")&gt;0,"Yes",IF(COUNTIF(K161:N161,"Maybe")&gt;0,"Maybe","No"))</f>
        <v>No</v>
      </c>
      <c r="Q161" s="42"/>
      <c r="R161" t="str">
        <f>IF(COUNTIF(L161:O161,"Yes")&gt;0,"Yes",IF(COUNTIF(L161:O161,"Maybe")&gt;1,"Maybe","No"))</f>
        <v>No</v>
      </c>
      <c r="S161" s="32"/>
      <c r="T161" s="11">
        <f t="shared" si="31"/>
        <v>0</v>
      </c>
      <c r="U161" s="11">
        <f t="shared" si="32"/>
        <v>0</v>
      </c>
      <c r="V161" s="11">
        <f t="shared" si="33"/>
        <v>0</v>
      </c>
      <c r="W161" s="17">
        <f t="shared" si="34"/>
        <v>0</v>
      </c>
      <c r="X161" s="17">
        <f t="shared" si="35"/>
        <v>0</v>
      </c>
      <c r="Y161" s="17">
        <f t="shared" si="36"/>
        <v>0</v>
      </c>
    </row>
    <row r="162" spans="1:25" x14ac:dyDescent="0.35">
      <c r="A162" s="7">
        <v>29.3</v>
      </c>
      <c r="B162" s="53" t="s">
        <v>460</v>
      </c>
      <c r="C162" s="291" t="s">
        <v>3306</v>
      </c>
      <c r="D162" t="s">
        <v>461</v>
      </c>
      <c r="E162" s="31" t="s">
        <v>346</v>
      </c>
      <c r="F162" s="11" t="str">
        <f>IFERROR(VLOOKUP(B162,'Categories List'!B$2:C$36,2,FALSE),"")</f>
        <v/>
      </c>
      <c r="G162" s="27" t="s">
        <v>119</v>
      </c>
      <c r="H162" s="27" t="s">
        <v>119</v>
      </c>
      <c r="I162" s="27" t="s">
        <v>119</v>
      </c>
      <c r="J162" s="83" t="s">
        <v>119</v>
      </c>
      <c r="K162" s="20" t="s">
        <v>119</v>
      </c>
      <c r="L162" s="19" t="s">
        <v>119</v>
      </c>
      <c r="M162" s="27" t="s">
        <v>119</v>
      </c>
      <c r="N162" s="19" t="s">
        <v>119</v>
      </c>
      <c r="O162" s="42"/>
      <c r="P162" s="11" t="str">
        <f>IF(COUNTIF(K162:N162,"Yes")&gt;0,"Yes",IF(COUNTIF(K162:N162,"Maybe")&gt;0,"Maybe","No"))</f>
        <v>No</v>
      </c>
      <c r="Q162" s="42"/>
      <c r="R162" t="str">
        <f>IF(COUNTIF(L162:O162,"Yes")&gt;0,"Yes",IF(COUNTIF(L162:O162,"Maybe")&gt;1,"Maybe","No"))</f>
        <v>No</v>
      </c>
      <c r="S162" s="32"/>
      <c r="T162" s="11">
        <f t="shared" si="31"/>
        <v>0</v>
      </c>
      <c r="U162" s="11">
        <f t="shared" si="32"/>
        <v>0</v>
      </c>
      <c r="V162" s="11">
        <f t="shared" si="33"/>
        <v>0</v>
      </c>
      <c r="W162" s="17">
        <f t="shared" si="34"/>
        <v>0</v>
      </c>
      <c r="X162" s="17">
        <f t="shared" si="35"/>
        <v>0</v>
      </c>
      <c r="Y162" s="17">
        <f t="shared" si="36"/>
        <v>0</v>
      </c>
    </row>
    <row r="163" spans="1:25" ht="16" x14ac:dyDescent="0.35">
      <c r="A163" s="62">
        <v>30</v>
      </c>
      <c r="B163" s="63" t="s">
        <v>89</v>
      </c>
      <c r="C163" s="56"/>
      <c r="D163" s="56"/>
      <c r="E163" s="65" t="s">
        <v>112</v>
      </c>
      <c r="F163" s="61" t="str">
        <f>IFERROR(VLOOKUP(B163,'Categories List'!B$2:C$36,2,FALSE),"")</f>
        <v>Priority 3</v>
      </c>
      <c r="G163" s="26"/>
      <c r="H163" s="26"/>
      <c r="I163" s="26"/>
      <c r="J163" s="82"/>
      <c r="K163" s="17"/>
      <c r="L163" s="11"/>
      <c r="M163" s="26"/>
      <c r="N163" s="11"/>
      <c r="O163" s="42"/>
      <c r="Q163" s="42"/>
      <c r="S163" s="32"/>
      <c r="T163" s="11">
        <f t="shared" si="31"/>
        <v>0</v>
      </c>
      <c r="U163" s="11">
        <f t="shared" si="32"/>
        <v>0</v>
      </c>
      <c r="V163" s="11">
        <f t="shared" si="33"/>
        <v>0</v>
      </c>
      <c r="W163" s="17">
        <f t="shared" si="34"/>
        <v>0</v>
      </c>
      <c r="X163" s="17">
        <f t="shared" si="35"/>
        <v>0</v>
      </c>
      <c r="Y163" s="17">
        <f t="shared" si="36"/>
        <v>0</v>
      </c>
    </row>
    <row r="164" spans="1:25" x14ac:dyDescent="0.35">
      <c r="A164" s="7">
        <v>30.1</v>
      </c>
      <c r="B164" s="53" t="s">
        <v>462</v>
      </c>
      <c r="C164" s="289" t="s">
        <v>3302</v>
      </c>
      <c r="E164" s="31" t="s">
        <v>112</v>
      </c>
      <c r="F164" s="11" t="str">
        <f>IFERROR(VLOOKUP(B164,'Categories List'!B$2:C$36,2,FALSE),"")</f>
        <v/>
      </c>
      <c r="G164" s="88" t="s">
        <v>119</v>
      </c>
      <c r="H164" s="88" t="s">
        <v>119</v>
      </c>
      <c r="I164" s="88" t="s">
        <v>119</v>
      </c>
      <c r="J164" s="89" t="s">
        <v>119</v>
      </c>
      <c r="K164" s="90" t="s">
        <v>119</v>
      </c>
      <c r="L164" s="91" t="s">
        <v>119</v>
      </c>
      <c r="M164" s="88" t="s">
        <v>119</v>
      </c>
      <c r="N164" s="91" t="s">
        <v>119</v>
      </c>
      <c r="O164" s="42"/>
      <c r="P164" s="11" t="str">
        <f>IF(COUNTIF(K164:N164,"Yes")&gt;0,"Yes",IF(COUNTIF(K164:N164,"Maybe")&gt;0,"Maybe","No"))</f>
        <v>No</v>
      </c>
      <c r="Q164" s="42"/>
      <c r="R164" t="str">
        <f>IF(COUNTIF(L164:O164,"Yes")&gt;0,"Yes",IF(COUNTIF(L164:O164,"Maybe")&gt;1,"Maybe","No"))</f>
        <v>No</v>
      </c>
      <c r="S164" s="32"/>
      <c r="T164" s="11">
        <f t="shared" si="31"/>
        <v>0</v>
      </c>
      <c r="U164" s="11">
        <f t="shared" si="32"/>
        <v>0</v>
      </c>
      <c r="V164" s="11">
        <f t="shared" si="33"/>
        <v>0</v>
      </c>
      <c r="W164" s="17">
        <f t="shared" si="34"/>
        <v>0</v>
      </c>
      <c r="X164" s="17">
        <f t="shared" si="35"/>
        <v>0</v>
      </c>
      <c r="Y164" s="17">
        <f t="shared" si="36"/>
        <v>0</v>
      </c>
    </row>
    <row r="165" spans="1:25" x14ac:dyDescent="0.35">
      <c r="A165" s="7">
        <v>30.2</v>
      </c>
      <c r="B165" s="53" t="s">
        <v>463</v>
      </c>
      <c r="C165" s="289" t="s">
        <v>3303</v>
      </c>
      <c r="E165" s="31" t="s">
        <v>112</v>
      </c>
      <c r="F165" s="11" t="str">
        <f>IFERROR(VLOOKUP(B165,'Categories List'!B$2:C$36,2,FALSE),"")</f>
        <v/>
      </c>
      <c r="G165" s="27" t="s">
        <v>119</v>
      </c>
      <c r="H165" s="27" t="s">
        <v>119</v>
      </c>
      <c r="I165" s="27" t="s">
        <v>119</v>
      </c>
      <c r="J165" s="83" t="s">
        <v>119</v>
      </c>
      <c r="K165" s="20" t="s">
        <v>119</v>
      </c>
      <c r="L165" s="19" t="s">
        <v>119</v>
      </c>
      <c r="M165" s="27" t="s">
        <v>119</v>
      </c>
      <c r="N165" s="19" t="s">
        <v>119</v>
      </c>
      <c r="O165" s="42"/>
      <c r="P165" s="11" t="str">
        <f>IF(COUNTIF(K165:N165,"Yes")&gt;0,"Yes",IF(COUNTIF(K165:N165,"Maybe")&gt;0,"Maybe","No"))</f>
        <v>No</v>
      </c>
      <c r="Q165" s="42"/>
      <c r="R165" t="str">
        <f>IF(COUNTIF(L165:O165,"Yes")&gt;0,"Yes",IF(COUNTIF(L165:O165,"Maybe")&gt;1,"Maybe","No"))</f>
        <v>No</v>
      </c>
      <c r="S165" s="32"/>
      <c r="T165" s="11">
        <f t="shared" si="31"/>
        <v>0</v>
      </c>
      <c r="U165" s="11">
        <f t="shared" si="32"/>
        <v>0</v>
      </c>
      <c r="V165" s="11">
        <f t="shared" si="33"/>
        <v>0</v>
      </c>
      <c r="W165" s="17">
        <f t="shared" si="34"/>
        <v>0</v>
      </c>
      <c r="X165" s="17">
        <f t="shared" si="35"/>
        <v>0</v>
      </c>
      <c r="Y165" s="17">
        <f t="shared" si="36"/>
        <v>0</v>
      </c>
    </row>
    <row r="166" spans="1:25" ht="16" x14ac:dyDescent="0.35">
      <c r="A166" s="62">
        <v>31</v>
      </c>
      <c r="B166" s="63" t="s">
        <v>90</v>
      </c>
      <c r="C166" s="56"/>
      <c r="D166" s="56"/>
      <c r="E166" s="65" t="s">
        <v>346</v>
      </c>
      <c r="F166" s="61" t="str">
        <f>IFERROR(VLOOKUP(B166,'Categories List'!B$2:C$36,2,FALSE),"")</f>
        <v>Priority 3</v>
      </c>
      <c r="G166" s="26"/>
      <c r="H166" s="26"/>
      <c r="I166" s="26"/>
      <c r="J166" s="82"/>
      <c r="K166" s="17"/>
      <c r="L166" s="11"/>
      <c r="M166" s="26"/>
      <c r="N166" s="11"/>
      <c r="O166" s="42"/>
      <c r="Q166" s="42"/>
      <c r="S166" s="32"/>
      <c r="T166" s="11">
        <f t="shared" ref="T166:W181" si="40">IF(K166="Yes",1,IF(K166="Maybe",0.5,0))</f>
        <v>0</v>
      </c>
      <c r="U166" s="11">
        <f t="shared" si="40"/>
        <v>0</v>
      </c>
      <c r="V166" s="11">
        <f t="shared" si="40"/>
        <v>0</v>
      </c>
      <c r="W166" s="17">
        <f t="shared" si="40"/>
        <v>0</v>
      </c>
      <c r="X166" s="17">
        <f t="shared" si="35"/>
        <v>0</v>
      </c>
      <c r="Y166" s="17">
        <f t="shared" si="36"/>
        <v>0</v>
      </c>
    </row>
    <row r="167" spans="1:25" x14ac:dyDescent="0.35">
      <c r="A167" s="7">
        <v>31.1</v>
      </c>
      <c r="B167" s="53" t="s">
        <v>464</v>
      </c>
      <c r="C167" s="290" t="s">
        <v>3300</v>
      </c>
      <c r="D167" s="270" t="s">
        <v>465</v>
      </c>
      <c r="E167" s="31" t="s">
        <v>346</v>
      </c>
      <c r="F167" s="11" t="str">
        <f>IFERROR(VLOOKUP(B167,'Categories List'!B$2:C$36,2,FALSE),"")</f>
        <v/>
      </c>
      <c r="G167" s="88" t="s">
        <v>119</v>
      </c>
      <c r="H167" s="88" t="s">
        <v>119</v>
      </c>
      <c r="I167" s="88" t="s">
        <v>119</v>
      </c>
      <c r="J167" s="89" t="s">
        <v>119</v>
      </c>
      <c r="K167" s="90" t="s">
        <v>120</v>
      </c>
      <c r="L167" s="91" t="s">
        <v>119</v>
      </c>
      <c r="M167" s="88" t="s">
        <v>119</v>
      </c>
      <c r="N167" s="91" t="s">
        <v>119</v>
      </c>
      <c r="O167" s="42"/>
      <c r="P167" s="11" t="str">
        <f>IF(COUNTIF(K167:N167,"Yes")&gt;0,"Yes",IF(COUNTIF(K167:N167,"Maybe")&gt;0,"Maybe","No"))</f>
        <v>Maybe</v>
      </c>
      <c r="Q167" s="42"/>
      <c r="R167" t="str">
        <f>IF(COUNTIF(L167:O167,"Yes")&gt;0,"Yes",IF(COUNTIF(L167:O167,"Maybe")&gt;1,"Maybe","No"))</f>
        <v>No</v>
      </c>
      <c r="S167" s="32" t="str">
        <f>IF(OR(P167="Yes", P167="Maybe"),B167,0)</f>
        <v>Digital Twins for Energy Systems</v>
      </c>
      <c r="T167" s="11">
        <f t="shared" si="40"/>
        <v>0.5</v>
      </c>
      <c r="U167" s="11">
        <f t="shared" si="40"/>
        <v>0</v>
      </c>
      <c r="V167" s="11">
        <f t="shared" si="40"/>
        <v>0</v>
      </c>
      <c r="W167" s="17">
        <f t="shared" si="40"/>
        <v>0</v>
      </c>
      <c r="X167" s="17">
        <f t="shared" si="35"/>
        <v>0.125</v>
      </c>
      <c r="Y167" s="17">
        <f t="shared" si="36"/>
        <v>0</v>
      </c>
    </row>
    <row r="168" spans="1:25" x14ac:dyDescent="0.35">
      <c r="A168" s="7">
        <v>31.2</v>
      </c>
      <c r="B168" s="53" t="s">
        <v>466</v>
      </c>
      <c r="C168" s="290" t="s">
        <v>3301</v>
      </c>
      <c r="D168" s="34" t="s">
        <v>467</v>
      </c>
      <c r="E168" s="31" t="s">
        <v>346</v>
      </c>
      <c r="F168" s="11" t="str">
        <f>IFERROR(VLOOKUP(B168,'Categories List'!B$2:C$36,2,FALSE),"")</f>
        <v/>
      </c>
      <c r="G168" s="27" t="s">
        <v>119</v>
      </c>
      <c r="H168" s="27" t="s">
        <v>119</v>
      </c>
      <c r="I168" s="27" t="s">
        <v>119</v>
      </c>
      <c r="J168" s="83" t="s">
        <v>119</v>
      </c>
      <c r="K168" s="20" t="s">
        <v>120</v>
      </c>
      <c r="L168" s="19" t="s">
        <v>119</v>
      </c>
      <c r="M168" s="27" t="s">
        <v>119</v>
      </c>
      <c r="N168" s="19" t="s">
        <v>119</v>
      </c>
      <c r="O168" s="42"/>
      <c r="P168" s="11" t="str">
        <f>IF(COUNTIF(K168:N168,"Yes")&gt;0,"Yes",IF(COUNTIF(K168:N168,"Maybe")&gt;0,"Maybe","No"))</f>
        <v>Maybe</v>
      </c>
      <c r="Q168" s="42"/>
      <c r="R168" t="str">
        <f>IF(COUNTIF(L168:O168,"Yes")&gt;0,"Yes",IF(COUNTIF(L168:O168,"Maybe")&gt;1,"Maybe","No"))</f>
        <v>No</v>
      </c>
      <c r="S168" s="32" t="str">
        <f>IF(OR(P168="Yes", P168="Maybe"),B168,0)</f>
        <v>Cybersecurity Frameworks for Energy Communities</v>
      </c>
      <c r="T168" s="11">
        <f t="shared" si="40"/>
        <v>0.5</v>
      </c>
      <c r="U168" s="11">
        <f t="shared" si="40"/>
        <v>0</v>
      </c>
      <c r="V168" s="11">
        <f t="shared" si="40"/>
        <v>0</v>
      </c>
      <c r="W168" s="17">
        <f t="shared" si="40"/>
        <v>0</v>
      </c>
      <c r="X168" s="17">
        <f t="shared" si="35"/>
        <v>0.125</v>
      </c>
      <c r="Y168" s="17">
        <f t="shared" si="36"/>
        <v>0</v>
      </c>
    </row>
    <row r="169" spans="1:25" ht="16" x14ac:dyDescent="0.35">
      <c r="A169" s="62">
        <v>32</v>
      </c>
      <c r="B169" s="63" t="s">
        <v>91</v>
      </c>
      <c r="C169" s="56"/>
      <c r="D169" s="56"/>
      <c r="E169" s="65" t="s">
        <v>468</v>
      </c>
      <c r="F169" s="61" t="str">
        <f>IFERROR(VLOOKUP(B169,'Categories List'!B$2:C$36,2,FALSE),"")</f>
        <v>Priority 3</v>
      </c>
      <c r="G169" s="26"/>
      <c r="H169" s="26"/>
      <c r="I169" s="26"/>
      <c r="J169" s="82"/>
      <c r="K169" s="17"/>
      <c r="L169" s="11"/>
      <c r="M169" s="26"/>
      <c r="N169" s="11"/>
      <c r="O169" s="42"/>
      <c r="Q169" s="42"/>
      <c r="S169" s="32"/>
      <c r="T169" s="11">
        <f t="shared" si="40"/>
        <v>0</v>
      </c>
      <c r="U169" s="11">
        <f t="shared" si="40"/>
        <v>0</v>
      </c>
      <c r="V169" s="11">
        <f t="shared" si="40"/>
        <v>0</v>
      </c>
      <c r="W169" s="17">
        <f t="shared" si="40"/>
        <v>0</v>
      </c>
      <c r="X169" s="17">
        <f t="shared" si="35"/>
        <v>0</v>
      </c>
      <c r="Y169" s="17">
        <f t="shared" si="36"/>
        <v>0</v>
      </c>
    </row>
    <row r="170" spans="1:25" x14ac:dyDescent="0.35">
      <c r="A170" s="7">
        <v>32.1</v>
      </c>
      <c r="B170" s="53" t="s">
        <v>469</v>
      </c>
      <c r="C170" s="290" t="s">
        <v>3298</v>
      </c>
      <c r="D170" s="270" t="s">
        <v>470</v>
      </c>
      <c r="E170" s="31" t="s">
        <v>468</v>
      </c>
      <c r="F170" s="11" t="str">
        <f>IFERROR(VLOOKUP(B170,'Categories List'!B$2:C$36,2,FALSE),"")</f>
        <v/>
      </c>
      <c r="G170" s="88" t="s">
        <v>119</v>
      </c>
      <c r="H170" s="88" t="s">
        <v>119</v>
      </c>
      <c r="I170" s="88" t="s">
        <v>119</v>
      </c>
      <c r="J170" s="89" t="s">
        <v>119</v>
      </c>
      <c r="K170" s="90" t="s">
        <v>119</v>
      </c>
      <c r="L170" s="91" t="s">
        <v>120</v>
      </c>
      <c r="M170" s="88" t="s">
        <v>119</v>
      </c>
      <c r="N170" s="91" t="s">
        <v>119</v>
      </c>
      <c r="O170" s="42"/>
      <c r="P170" s="11" t="str">
        <f>IF(COUNTIF(K170:N170,"Yes")&gt;0,"Yes",IF(COUNTIF(K170:N170,"Maybe")&gt;0,"Maybe","No"))</f>
        <v>Maybe</v>
      </c>
      <c r="Q170" s="42"/>
      <c r="R170" t="str">
        <f>IF(COUNTIF(L170:O170,"Yes")&gt;0,"Yes",IF(COUNTIF(L170:O170,"Maybe")&gt;1,"Maybe","No"))</f>
        <v>No</v>
      </c>
      <c r="S170" s="32" t="str">
        <f>IF(OR(P170="Yes", P170="Maybe"),B170,0)</f>
        <v>Social Impact Assessment Tools</v>
      </c>
      <c r="T170" s="11">
        <f t="shared" si="40"/>
        <v>0</v>
      </c>
      <c r="U170" s="11">
        <f t="shared" si="40"/>
        <v>0.5</v>
      </c>
      <c r="V170" s="11">
        <f t="shared" si="40"/>
        <v>0</v>
      </c>
      <c r="W170" s="17">
        <f t="shared" si="40"/>
        <v>0</v>
      </c>
      <c r="X170" s="17">
        <f t="shared" si="35"/>
        <v>0.125</v>
      </c>
      <c r="Y170" s="17">
        <f t="shared" si="36"/>
        <v>0</v>
      </c>
    </row>
    <row r="171" spans="1:25" x14ac:dyDescent="0.35">
      <c r="A171" s="7">
        <v>32.200000000000003</v>
      </c>
      <c r="B171" s="53" t="s">
        <v>471</v>
      </c>
      <c r="C171" s="289" t="s">
        <v>3299</v>
      </c>
      <c r="E171" s="31" t="s">
        <v>468</v>
      </c>
      <c r="F171" s="11" t="str">
        <f>IFERROR(VLOOKUP(B171,'Categories List'!B$2:C$36,2,FALSE),"")</f>
        <v/>
      </c>
      <c r="G171" s="27" t="s">
        <v>119</v>
      </c>
      <c r="H171" s="27" t="s">
        <v>119</v>
      </c>
      <c r="I171" s="27" t="s">
        <v>119</v>
      </c>
      <c r="J171" s="83" t="s">
        <v>119</v>
      </c>
      <c r="K171" s="20" t="s">
        <v>119</v>
      </c>
      <c r="L171" s="19" t="s">
        <v>120</v>
      </c>
      <c r="M171" s="27" t="s">
        <v>119</v>
      </c>
      <c r="N171" s="19" t="s">
        <v>119</v>
      </c>
      <c r="O171" s="42"/>
      <c r="P171" s="11" t="str">
        <f>IF(COUNTIF(K171:N171,"Yes")&gt;0,"Yes",IF(COUNTIF(K171:N171,"Maybe")&gt;0,"Maybe","No"))</f>
        <v>Maybe</v>
      </c>
      <c r="Q171" s="42"/>
      <c r="R171" t="str">
        <f>IF(COUNTIF(L171:O171,"Yes")&gt;0,"Yes",IF(COUNTIF(L171:O171,"Maybe")&gt;1,"Maybe","No"))</f>
        <v>No</v>
      </c>
      <c r="S171" s="32" t="str">
        <f>IF(OR(P171="Yes", P171="Maybe"),B171,0)</f>
        <v>Community Co-Design Platforms</v>
      </c>
      <c r="T171" s="11">
        <f t="shared" si="40"/>
        <v>0</v>
      </c>
      <c r="U171" s="11">
        <f t="shared" si="40"/>
        <v>0.5</v>
      </c>
      <c r="V171" s="11">
        <f t="shared" si="40"/>
        <v>0</v>
      </c>
      <c r="W171" s="17">
        <f t="shared" si="40"/>
        <v>0</v>
      </c>
      <c r="X171" s="17">
        <f t="shared" si="35"/>
        <v>0.125</v>
      </c>
      <c r="Y171" s="17">
        <f t="shared" si="36"/>
        <v>0</v>
      </c>
    </row>
    <row r="172" spans="1:25" ht="16" x14ac:dyDescent="0.35">
      <c r="A172" s="62">
        <v>33</v>
      </c>
      <c r="B172" s="63" t="s">
        <v>92</v>
      </c>
      <c r="C172" s="56"/>
      <c r="D172" s="56"/>
      <c r="E172" s="65" t="s">
        <v>468</v>
      </c>
      <c r="F172" s="61" t="str">
        <f>IFERROR(VLOOKUP(B172,'Categories List'!B$2:C$36,2,FALSE),"")</f>
        <v>Priority 3</v>
      </c>
      <c r="G172" s="26"/>
      <c r="H172" s="26"/>
      <c r="I172" s="26"/>
      <c r="J172" s="82"/>
      <c r="K172" s="17"/>
      <c r="L172" s="11"/>
      <c r="M172" s="26"/>
      <c r="N172" s="11"/>
      <c r="O172" s="42"/>
      <c r="Q172" s="42"/>
      <c r="S172" s="32"/>
      <c r="T172" s="11">
        <f t="shared" si="40"/>
        <v>0</v>
      </c>
      <c r="U172" s="11">
        <f t="shared" si="40"/>
        <v>0</v>
      </c>
      <c r="V172" s="11">
        <f t="shared" si="40"/>
        <v>0</v>
      </c>
      <c r="W172" s="17">
        <f t="shared" si="40"/>
        <v>0</v>
      </c>
      <c r="X172" s="17">
        <f t="shared" si="35"/>
        <v>0</v>
      </c>
      <c r="Y172" s="17">
        <f t="shared" si="36"/>
        <v>0</v>
      </c>
    </row>
    <row r="173" spans="1:25" x14ac:dyDescent="0.35">
      <c r="A173" s="7">
        <v>33.1</v>
      </c>
      <c r="B173" s="53" t="s">
        <v>472</v>
      </c>
      <c r="C173" s="289" t="s">
        <v>3296</v>
      </c>
      <c r="E173" s="31" t="s">
        <v>468</v>
      </c>
      <c r="F173" s="11" t="str">
        <f>IFERROR(VLOOKUP(B173,'Categories List'!B$2:C$36,2,FALSE),"")</f>
        <v/>
      </c>
      <c r="G173" s="88" t="s">
        <v>119</v>
      </c>
      <c r="H173" s="88" t="s">
        <v>119</v>
      </c>
      <c r="I173" s="88" t="s">
        <v>119</v>
      </c>
      <c r="J173" s="89" t="s">
        <v>119</v>
      </c>
      <c r="K173" s="90" t="s">
        <v>119</v>
      </c>
      <c r="L173" s="91" t="s">
        <v>120</v>
      </c>
      <c r="M173" s="88" t="s">
        <v>119</v>
      </c>
      <c r="N173" s="91" t="s">
        <v>120</v>
      </c>
      <c r="O173" s="42"/>
      <c r="P173" s="11" t="str">
        <f>IF(COUNTIF(K173:N173,"Yes")&gt;0,"Yes",IF(COUNTIF(K173:N173,"Maybe")&gt;0,"Maybe","No"))</f>
        <v>Maybe</v>
      </c>
      <c r="Q173" s="42"/>
      <c r="R173" t="str">
        <f>IF(COUNTIF(L173:O173,"Yes")&gt;0,"Yes",IF(COUNTIF(L173:O173,"Maybe")&gt;1,"Maybe","No"))</f>
        <v>Maybe</v>
      </c>
      <c r="S173" s="32" t="str">
        <f>IF(OR(P173="Yes", P173="Maybe"),B173,0)</f>
        <v>Nudge Theory Applications</v>
      </c>
      <c r="T173" s="11">
        <f t="shared" si="40"/>
        <v>0</v>
      </c>
      <c r="U173" s="11">
        <f t="shared" si="40"/>
        <v>0.5</v>
      </c>
      <c r="V173" s="11">
        <f t="shared" si="40"/>
        <v>0</v>
      </c>
      <c r="W173" s="17">
        <f t="shared" si="40"/>
        <v>0.5</v>
      </c>
      <c r="X173" s="17">
        <f t="shared" si="35"/>
        <v>0.25</v>
      </c>
      <c r="Y173" s="17">
        <f t="shared" si="36"/>
        <v>0</v>
      </c>
    </row>
    <row r="174" spans="1:25" x14ac:dyDescent="0.35">
      <c r="A174" s="7">
        <v>33.200000000000003</v>
      </c>
      <c r="B174" s="53" t="s">
        <v>473</v>
      </c>
      <c r="C174" s="289" t="s">
        <v>3297</v>
      </c>
      <c r="E174" s="31" t="s">
        <v>468</v>
      </c>
      <c r="F174" s="11" t="str">
        <f>IFERROR(VLOOKUP(B174,'Categories List'!B$2:C$36,2,FALSE),"")</f>
        <v/>
      </c>
      <c r="G174" s="27" t="s">
        <v>119</v>
      </c>
      <c r="H174" s="27" t="s">
        <v>119</v>
      </c>
      <c r="I174" s="27" t="s">
        <v>119</v>
      </c>
      <c r="J174" s="83" t="s">
        <v>119</v>
      </c>
      <c r="K174" s="20" t="s">
        <v>119</v>
      </c>
      <c r="L174" s="19" t="s">
        <v>120</v>
      </c>
      <c r="M174" s="27" t="s">
        <v>118</v>
      </c>
      <c r="N174" s="19" t="s">
        <v>120</v>
      </c>
      <c r="O174" s="42"/>
      <c r="P174" s="11" t="str">
        <f>IF(COUNTIF(K174:N174,"Yes")&gt;0,"Yes",IF(COUNTIF(K174:N174,"Maybe")&gt;0,"Maybe","No"))</f>
        <v>Yes</v>
      </c>
      <c r="Q174" s="42"/>
      <c r="R174" t="str">
        <f>IF(COUNTIF(L174:O174,"Yes")&gt;0,"Yes",IF(COUNTIF(L174:O174,"Maybe")&gt;1,"Maybe","No"))</f>
        <v>Yes</v>
      </c>
      <c r="S174" s="32" t="str">
        <f>IF(OR(P174="Yes", P174="Maybe"),B174,0)</f>
        <v>Behavioral Analytics for Energy Savings</v>
      </c>
      <c r="T174" s="11">
        <f t="shared" si="40"/>
        <v>0</v>
      </c>
      <c r="U174" s="11">
        <f t="shared" si="40"/>
        <v>0.5</v>
      </c>
      <c r="V174" s="11">
        <f t="shared" si="40"/>
        <v>1</v>
      </c>
      <c r="W174" s="17">
        <f t="shared" si="40"/>
        <v>0.5</v>
      </c>
      <c r="X174" s="17">
        <f t="shared" si="35"/>
        <v>0.5</v>
      </c>
      <c r="Y174" s="17">
        <f>+IF(X174&gt;0.49,1,0)</f>
        <v>1</v>
      </c>
    </row>
    <row r="175" spans="1:25" ht="16" x14ac:dyDescent="0.35">
      <c r="A175" s="67">
        <v>34</v>
      </c>
      <c r="B175" s="63" t="s">
        <v>93</v>
      </c>
      <c r="C175" s="56"/>
      <c r="D175" s="56"/>
      <c r="E175" s="65" t="s">
        <v>284</v>
      </c>
      <c r="F175" s="55" t="str">
        <f>IFERROR(VLOOKUP(B175,'Categories List'!B$2:C$36,2,FALSE),"")</f>
        <v>Priority 1</v>
      </c>
      <c r="G175" s="26"/>
      <c r="H175" s="26"/>
      <c r="I175" s="26"/>
      <c r="J175" s="82"/>
      <c r="K175" s="17"/>
      <c r="L175" s="11"/>
      <c r="M175" s="26"/>
      <c r="N175" s="11"/>
      <c r="O175" s="42"/>
      <c r="Q175" s="42"/>
      <c r="S175" s="32"/>
      <c r="T175" s="11">
        <f t="shared" si="40"/>
        <v>0</v>
      </c>
      <c r="U175" s="11">
        <f t="shared" si="40"/>
        <v>0</v>
      </c>
      <c r="V175" s="11">
        <f t="shared" si="40"/>
        <v>0</v>
      </c>
      <c r="W175" s="17">
        <f t="shared" si="40"/>
        <v>0</v>
      </c>
      <c r="X175" s="17">
        <f t="shared" si="35"/>
        <v>0</v>
      </c>
      <c r="Y175" s="17">
        <f t="shared" si="36"/>
        <v>0</v>
      </c>
    </row>
    <row r="176" spans="1:25" x14ac:dyDescent="0.35">
      <c r="A176" s="7">
        <v>34.1</v>
      </c>
      <c r="B176" s="53" t="s">
        <v>474</v>
      </c>
      <c r="C176" t="s">
        <v>475</v>
      </c>
      <c r="E176" s="31" t="s">
        <v>284</v>
      </c>
      <c r="F176" s="11" t="str">
        <f>IFERROR(VLOOKUP(B176,'Categories List'!B$2:C$36,2,FALSE),"")</f>
        <v/>
      </c>
      <c r="G176" s="88" t="s">
        <v>119</v>
      </c>
      <c r="H176" s="88" t="s">
        <v>118</v>
      </c>
      <c r="I176" s="99" t="s">
        <v>119</v>
      </c>
      <c r="J176" s="347" t="s">
        <v>119</v>
      </c>
      <c r="K176" s="90" t="s">
        <v>120</v>
      </c>
      <c r="L176" s="91" t="s">
        <v>118</v>
      </c>
      <c r="M176" s="88" t="s">
        <v>120</v>
      </c>
      <c r="N176" s="91" t="s">
        <v>118</v>
      </c>
      <c r="O176" s="42"/>
      <c r="P176" s="11" t="str">
        <f t="shared" ref="P176:P181" si="41">IF(COUNTIF(K176:N176,"Yes")&gt;0,"Yes",IF(COUNTIF(K176:N176,"Maybe")&gt;0,"Maybe","No"))</f>
        <v>Yes</v>
      </c>
      <c r="Q176" s="42"/>
      <c r="R176" t="str">
        <f t="shared" ref="R176:R181" si="42">IF(COUNTIF(L176:O176,"Yes")&gt;0,"Yes",IF(COUNTIF(L176:O176,"Maybe")&gt;1,"Maybe","No"))</f>
        <v>Yes</v>
      </c>
      <c r="S176" s="32" t="str">
        <f t="shared" ref="S176:S181" si="43">IF(OR(P176="Yes", P176="Maybe"),B176,0)</f>
        <v>Automated Billing Platforms (Dynamic pricing Billing systems)</v>
      </c>
      <c r="T176" s="11">
        <f t="shared" si="40"/>
        <v>0.5</v>
      </c>
      <c r="U176" s="11">
        <f t="shared" si="40"/>
        <v>1</v>
      </c>
      <c r="V176" s="11">
        <f t="shared" si="40"/>
        <v>0.5</v>
      </c>
      <c r="W176" s="17">
        <f t="shared" si="40"/>
        <v>1</v>
      </c>
      <c r="X176" s="17">
        <f t="shared" si="35"/>
        <v>0.75</v>
      </c>
      <c r="Y176" s="17">
        <f t="shared" si="36"/>
        <v>1</v>
      </c>
    </row>
    <row r="177" spans="1:25" x14ac:dyDescent="0.35">
      <c r="A177" s="7">
        <v>34.200000000000003</v>
      </c>
      <c r="B177" s="53" t="s">
        <v>476</v>
      </c>
      <c r="C177" t="s">
        <v>477</v>
      </c>
      <c r="E177" s="31" t="s">
        <v>284</v>
      </c>
      <c r="F177" s="11" t="str">
        <f>IFERROR(VLOOKUP(B177,'Categories List'!B$2:C$36,2,FALSE),"")</f>
        <v/>
      </c>
      <c r="G177" s="26" t="s">
        <v>119</v>
      </c>
      <c r="H177" s="26" t="s">
        <v>119</v>
      </c>
      <c r="I177" s="16" t="s">
        <v>119</v>
      </c>
      <c r="J177" s="348" t="s">
        <v>119</v>
      </c>
      <c r="K177" s="17" t="s">
        <v>120</v>
      </c>
      <c r="L177" s="11" t="s">
        <v>119</v>
      </c>
      <c r="M177" s="26" t="s">
        <v>120</v>
      </c>
      <c r="N177" s="11" t="s">
        <v>120</v>
      </c>
      <c r="O177" s="42"/>
      <c r="P177" s="11" t="str">
        <f t="shared" si="41"/>
        <v>Maybe</v>
      </c>
      <c r="Q177" s="42"/>
      <c r="R177" t="str">
        <f t="shared" si="42"/>
        <v>Maybe</v>
      </c>
      <c r="S177" s="32" t="str">
        <f t="shared" si="43"/>
        <v>DLT (Blockchain)-Based Settlement Platforms</v>
      </c>
      <c r="T177" s="11">
        <f t="shared" si="40"/>
        <v>0.5</v>
      </c>
      <c r="U177" s="11">
        <f t="shared" si="40"/>
        <v>0</v>
      </c>
      <c r="V177" s="11">
        <f t="shared" si="40"/>
        <v>0.5</v>
      </c>
      <c r="W177" s="17">
        <f t="shared" si="40"/>
        <v>0.5</v>
      </c>
      <c r="X177" s="17">
        <f t="shared" si="35"/>
        <v>0.375</v>
      </c>
      <c r="Y177" s="17">
        <f t="shared" si="36"/>
        <v>0</v>
      </c>
    </row>
    <row r="178" spans="1:25" x14ac:dyDescent="0.35">
      <c r="A178" s="7">
        <v>34.299999999999997</v>
      </c>
      <c r="B178" s="53" t="s">
        <v>478</v>
      </c>
      <c r="C178" t="s">
        <v>479</v>
      </c>
      <c r="E178" s="31" t="s">
        <v>284</v>
      </c>
      <c r="F178" s="17" t="str">
        <f>IFERROR(VLOOKUP(B178,'Categories List'!B$2:C$36,2,FALSE),"")</f>
        <v/>
      </c>
      <c r="G178" s="26" t="s">
        <v>119</v>
      </c>
      <c r="H178" s="26" t="s">
        <v>118</v>
      </c>
      <c r="I178" s="16" t="s">
        <v>119</v>
      </c>
      <c r="J178" s="348" t="s">
        <v>119</v>
      </c>
      <c r="K178" s="17" t="s">
        <v>120</v>
      </c>
      <c r="L178" s="11" t="s">
        <v>119</v>
      </c>
      <c r="M178" s="26" t="s">
        <v>120</v>
      </c>
      <c r="N178" s="11" t="s">
        <v>119</v>
      </c>
      <c r="O178" s="42"/>
      <c r="P178" s="11" t="str">
        <f t="shared" si="41"/>
        <v>Maybe</v>
      </c>
      <c r="Q178" s="42"/>
      <c r="R178" t="str">
        <f t="shared" si="42"/>
        <v>No</v>
      </c>
      <c r="S178" s="32" t="str">
        <f t="shared" si="43"/>
        <v>Virtual Net Metering Software</v>
      </c>
      <c r="T178" s="11">
        <f t="shared" si="40"/>
        <v>0.5</v>
      </c>
      <c r="U178" s="11">
        <f t="shared" si="40"/>
        <v>0</v>
      </c>
      <c r="V178" s="11">
        <f t="shared" si="40"/>
        <v>0.5</v>
      </c>
      <c r="W178" s="17">
        <f t="shared" si="40"/>
        <v>0</v>
      </c>
      <c r="X178" s="17">
        <f t="shared" si="35"/>
        <v>0.25</v>
      </c>
      <c r="Y178" s="17">
        <f t="shared" si="36"/>
        <v>0</v>
      </c>
    </row>
    <row r="179" spans="1:25" x14ac:dyDescent="0.35">
      <c r="A179" s="7">
        <v>34.4</v>
      </c>
      <c r="B179" s="53" t="s">
        <v>480</v>
      </c>
      <c r="C179" t="s">
        <v>481</v>
      </c>
      <c r="E179" s="31" t="s">
        <v>284</v>
      </c>
      <c r="F179" s="17" t="str">
        <f>IFERROR(VLOOKUP(B179,'Categories List'!B$2:C$36,2,FALSE),"")</f>
        <v/>
      </c>
      <c r="G179" s="26" t="s">
        <v>119</v>
      </c>
      <c r="H179" s="26" t="s">
        <v>118</v>
      </c>
      <c r="I179" s="16" t="s">
        <v>119</v>
      </c>
      <c r="J179" s="348" t="s">
        <v>119</v>
      </c>
      <c r="K179" s="17" t="s">
        <v>120</v>
      </c>
      <c r="L179" s="11" t="s">
        <v>119</v>
      </c>
      <c r="M179" s="26" t="s">
        <v>120</v>
      </c>
      <c r="N179" s="11" t="s">
        <v>120</v>
      </c>
      <c r="O179" s="42"/>
      <c r="P179" s="11" t="str">
        <f t="shared" si="41"/>
        <v>Maybe</v>
      </c>
      <c r="Q179" s="42"/>
      <c r="R179" t="str">
        <f t="shared" si="42"/>
        <v>Maybe</v>
      </c>
      <c r="S179" s="32" t="str">
        <f t="shared" si="43"/>
        <v>Audit &amp; Reporting Software</v>
      </c>
      <c r="T179" s="11">
        <f t="shared" si="40"/>
        <v>0.5</v>
      </c>
      <c r="U179" s="11">
        <f t="shared" si="40"/>
        <v>0</v>
      </c>
      <c r="V179" s="11">
        <f t="shared" si="40"/>
        <v>0.5</v>
      </c>
      <c r="W179" s="17">
        <f t="shared" si="40"/>
        <v>0.5</v>
      </c>
      <c r="X179" s="17">
        <f t="shared" si="35"/>
        <v>0.375</v>
      </c>
      <c r="Y179" s="17">
        <f t="shared" si="36"/>
        <v>0</v>
      </c>
    </row>
    <row r="180" spans="1:25" x14ac:dyDescent="0.35">
      <c r="A180" s="7">
        <v>34.5</v>
      </c>
      <c r="B180" s="53" t="s">
        <v>482</v>
      </c>
      <c r="C180" t="s">
        <v>483</v>
      </c>
      <c r="E180" s="31" t="s">
        <v>284</v>
      </c>
      <c r="F180" s="17" t="str">
        <f>IFERROR(VLOOKUP(B180,'Categories List'!B$2:C$36,2,FALSE),"")</f>
        <v/>
      </c>
      <c r="G180" s="26" t="s">
        <v>119</v>
      </c>
      <c r="H180" s="26" t="s">
        <v>118</v>
      </c>
      <c r="I180" s="16" t="s">
        <v>119</v>
      </c>
      <c r="J180" s="348" t="s">
        <v>119</v>
      </c>
      <c r="K180" s="17" t="s">
        <v>120</v>
      </c>
      <c r="L180" s="11" t="s">
        <v>119</v>
      </c>
      <c r="M180" s="26" t="s">
        <v>120</v>
      </c>
      <c r="N180" s="11" t="s">
        <v>119</v>
      </c>
      <c r="O180" s="42"/>
      <c r="P180" s="11" t="str">
        <f t="shared" si="41"/>
        <v>Maybe</v>
      </c>
      <c r="Q180" s="42"/>
      <c r="R180" s="31" t="str">
        <f t="shared" si="42"/>
        <v>No</v>
      </c>
      <c r="S180" s="32" t="str">
        <f t="shared" si="43"/>
        <v>Peer-to-Peer (P2P) Energy Trading &amp; Settlement</v>
      </c>
      <c r="T180" s="16">
        <f t="shared" si="40"/>
        <v>0.5</v>
      </c>
      <c r="U180" s="11">
        <f t="shared" si="40"/>
        <v>0</v>
      </c>
      <c r="V180" s="11">
        <f t="shared" si="40"/>
        <v>0.5</v>
      </c>
      <c r="W180" s="17">
        <f t="shared" si="40"/>
        <v>0</v>
      </c>
      <c r="X180" s="17">
        <f t="shared" si="35"/>
        <v>0.25</v>
      </c>
      <c r="Y180" s="17">
        <f t="shared" si="36"/>
        <v>0</v>
      </c>
    </row>
    <row r="181" spans="1:25" x14ac:dyDescent="0.35">
      <c r="A181" s="107">
        <v>34.6</v>
      </c>
      <c r="B181" s="108" t="s">
        <v>484</v>
      </c>
      <c r="C181" s="109" t="s">
        <v>485</v>
      </c>
      <c r="D181" s="109"/>
      <c r="E181" s="33" t="s">
        <v>284</v>
      </c>
      <c r="F181" s="20" t="str">
        <f>IFERROR(VLOOKUP(B181,'Categories List'!B$2:C$36,2,FALSE),"")</f>
        <v/>
      </c>
      <c r="G181" s="27" t="s">
        <v>119</v>
      </c>
      <c r="H181" s="27" t="s">
        <v>119</v>
      </c>
      <c r="I181" s="18" t="s">
        <v>119</v>
      </c>
      <c r="J181" s="349" t="s">
        <v>119</v>
      </c>
      <c r="K181" s="20" t="s">
        <v>120</v>
      </c>
      <c r="L181" s="19" t="s">
        <v>119</v>
      </c>
      <c r="M181" s="27" t="s">
        <v>120</v>
      </c>
      <c r="N181" s="27" t="s">
        <v>120</v>
      </c>
      <c r="O181" s="42"/>
      <c r="P181" s="27" t="str">
        <f t="shared" si="41"/>
        <v>Maybe</v>
      </c>
      <c r="Q181" s="42"/>
      <c r="R181" s="33" t="str">
        <f t="shared" si="42"/>
        <v>Maybe</v>
      </c>
      <c r="S181" s="34" t="str">
        <f t="shared" si="43"/>
        <v>Dispute Resolution</v>
      </c>
      <c r="T181" s="18">
        <f t="shared" si="40"/>
        <v>0.5</v>
      </c>
      <c r="U181" s="19">
        <f t="shared" si="40"/>
        <v>0</v>
      </c>
      <c r="V181" s="19">
        <f t="shared" si="40"/>
        <v>0.5</v>
      </c>
      <c r="W181" s="20">
        <f t="shared" si="40"/>
        <v>0.5</v>
      </c>
      <c r="X181" s="20">
        <f t="shared" si="35"/>
        <v>0.375</v>
      </c>
      <c r="Y181" s="20">
        <f t="shared" si="36"/>
        <v>0</v>
      </c>
    </row>
    <row r="183" spans="1:25" x14ac:dyDescent="0.35">
      <c r="X183" s="1" t="s">
        <v>94</v>
      </c>
      <c r="Y183" s="75">
        <f>SUM(Y5:Y181)</f>
        <v>34</v>
      </c>
    </row>
  </sheetData>
  <autoFilter ref="A3:F181" xr:uid="{46DFFB2F-4771-4F5A-B034-36A6303B3338}"/>
  <mergeCells count="9">
    <mergeCell ref="A1:E2"/>
    <mergeCell ref="O1:Y1"/>
    <mergeCell ref="O2:S2"/>
    <mergeCell ref="T2:Y2"/>
    <mergeCell ref="AB3:AC3"/>
    <mergeCell ref="R3:S3"/>
    <mergeCell ref="G2:J2"/>
    <mergeCell ref="K2:N2"/>
    <mergeCell ref="G1:N1"/>
  </mergeCells>
  <conditionalFormatting sqref="B3:B174">
    <cfRule type="duplicateValues" dxfId="567" priority="28"/>
  </conditionalFormatting>
  <conditionalFormatting sqref="B175">
    <cfRule type="duplicateValues" dxfId="566" priority="22"/>
  </conditionalFormatting>
  <conditionalFormatting sqref="B176:B180">
    <cfRule type="duplicateValues" dxfId="565" priority="21"/>
  </conditionalFormatting>
  <conditionalFormatting sqref="D3 D6 D12:D13 D21:D25 D28:D30 D33:D44 D47:D48 D52:D53 D55 D57 D59:D60 D65 D68:D69 D75 D77 D80:D82 D84 D86 D88:D89 D91:D92 D94 D98 D100:D108 D111 D114:D119 D121:D123 D125:D127 D129">
    <cfRule type="cellIs" dxfId="564" priority="1" operator="equal">
      <formula>"N"</formula>
    </cfRule>
    <cfRule type="cellIs" dxfId="563" priority="2" operator="equal">
      <formula>"Y"</formula>
    </cfRule>
  </conditionalFormatting>
  <conditionalFormatting sqref="F3">
    <cfRule type="cellIs" dxfId="562" priority="26" operator="equal">
      <formula>"N"</formula>
    </cfRule>
    <cfRule type="cellIs" dxfId="561" priority="27" operator="equal">
      <formula>"Y"</formula>
    </cfRule>
  </conditionalFormatting>
  <conditionalFormatting sqref="G4:G181 P5:P181 R5:R181">
    <cfRule type="cellIs" dxfId="560" priority="12" operator="equal">
      <formula>"No"</formula>
    </cfRule>
    <cfRule type="cellIs" dxfId="559" priority="13" operator="equal">
      <formula>"Maybe"</formula>
    </cfRule>
    <cfRule type="cellIs" dxfId="558" priority="14" operator="equal">
      <formula>"Yes"</formula>
    </cfRule>
  </conditionalFormatting>
  <conditionalFormatting sqref="H4:H12 H14:H20">
    <cfRule type="cellIs" dxfId="557" priority="15" operator="equal">
      <formula>"No"</formula>
    </cfRule>
    <cfRule type="cellIs" dxfId="556" priority="16" operator="equal">
      <formula>"Maybe"</formula>
    </cfRule>
    <cfRule type="cellIs" dxfId="555" priority="17" operator="equal">
      <formula>"Yes"</formula>
    </cfRule>
  </conditionalFormatting>
  <conditionalFormatting sqref="H21:I181">
    <cfRule type="cellIs" dxfId="554" priority="18" operator="equal">
      <formula>"No"</formula>
    </cfRule>
    <cfRule type="cellIs" dxfId="553" priority="19" operator="equal">
      <formula>"Maybe"</formula>
    </cfRule>
    <cfRule type="cellIs" dxfId="552" priority="20" operator="equal">
      <formula>"Yes"</formula>
    </cfRule>
  </conditionalFormatting>
  <conditionalFormatting sqref="I4:I20">
    <cfRule type="cellIs" dxfId="551" priority="23" operator="equal">
      <formula>"No"</formula>
    </cfRule>
    <cfRule type="cellIs" dxfId="550" priority="24" operator="equal">
      <formula>"Maybe"</formula>
    </cfRule>
    <cfRule type="cellIs" dxfId="549" priority="25" operator="equal">
      <formula>"Yes"</formula>
    </cfRule>
  </conditionalFormatting>
  <conditionalFormatting sqref="J4:N181">
    <cfRule type="cellIs" dxfId="548" priority="6" operator="equal">
      <formula>"No"</formula>
    </cfRule>
    <cfRule type="cellIs" dxfId="547" priority="7" operator="equal">
      <formula>"Maybe"</formula>
    </cfRule>
    <cfRule type="cellIs" dxfId="546" priority="8" operator="equal">
      <formula>"Yes"</formula>
    </cfRule>
  </conditionalFormatting>
  <dataValidations count="1">
    <dataValidation type="list" showInputMessage="1" showErrorMessage="1" sqref="G4:G174 H4:H12 H14:H181 J4:L174 I4:I181 M4:N181 J175:J181" xr:uid="{C3DF9742-1BF2-4CD3-9D92-E1B0BCA2F63C}">
      <formula1>"Yes,Maybe,No"</formula1>
    </dataValidation>
  </dataValidations>
  <pageMargins left="0.70866141732283472" right="0.70866141732283472" top="0.74803149606299213" bottom="0.74803149606299213" header="0.31496062992125984" footer="0.31496062992125984"/>
  <pageSetup paperSize="9" scale="2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F1597-F2C0-4E2D-9101-BAAF03C21206}">
  <sheetPr codeName="Sheet3">
    <tabColor rgb="FFB8EC84"/>
  </sheetPr>
  <dimension ref="A1:Y97"/>
  <sheetViews>
    <sheetView zoomScale="90" zoomScaleNormal="85" workbookViewId="0">
      <selection activeCell="O28" sqref="O28"/>
    </sheetView>
  </sheetViews>
  <sheetFormatPr defaultRowHeight="14.5" x14ac:dyDescent="0.35"/>
  <cols>
    <col min="2" max="2" width="58.1796875" bestFit="1" customWidth="1"/>
    <col min="3" max="3" width="26.81640625" customWidth="1"/>
    <col min="4" max="4" width="28.54296875" style="129" customWidth="1"/>
    <col min="5" max="5" width="20.7265625" style="102" bestFit="1" customWidth="1"/>
    <col min="6" max="6" width="18.54296875" style="11" customWidth="1"/>
    <col min="7" max="7" width="3.26953125" style="11" customWidth="1"/>
    <col min="8" max="8" width="18" style="11" customWidth="1"/>
    <col min="9" max="9" width="10.81640625" customWidth="1"/>
    <col min="10" max="10" width="12.90625" customWidth="1"/>
    <col min="11" max="11" width="13.54296875" customWidth="1"/>
    <col min="12" max="12" width="12.1796875" customWidth="1"/>
    <col min="13" max="13" width="10.90625" customWidth="1"/>
    <col min="15" max="15" width="8.7265625" customWidth="1"/>
    <col min="16" max="16" width="22.54296875" customWidth="1"/>
    <col min="17" max="17" width="34.453125" customWidth="1"/>
  </cols>
  <sheetData>
    <row r="1" spans="1:18" ht="25" customHeight="1" x14ac:dyDescent="0.35">
      <c r="A1" s="462" t="s">
        <v>486</v>
      </c>
      <c r="B1" s="463"/>
      <c r="C1" s="463"/>
      <c r="D1" s="463"/>
      <c r="E1" s="464"/>
      <c r="F1" s="438" t="s">
        <v>487</v>
      </c>
      <c r="G1" s="439"/>
      <c r="H1" s="439"/>
      <c r="I1" s="439"/>
      <c r="J1" s="439"/>
      <c r="K1" s="439"/>
      <c r="L1" s="440"/>
    </row>
    <row r="2" spans="1:18" ht="21" customHeight="1" x14ac:dyDescent="0.35">
      <c r="A2" s="465"/>
      <c r="B2" s="466"/>
      <c r="C2" s="466"/>
      <c r="D2" s="466"/>
      <c r="E2" s="467"/>
      <c r="F2" s="468" t="s">
        <v>488</v>
      </c>
      <c r="G2" s="469"/>
      <c r="H2" s="470"/>
      <c r="I2" s="471" t="s">
        <v>102</v>
      </c>
      <c r="J2" s="444"/>
      <c r="K2" s="444"/>
      <c r="L2" s="445"/>
    </row>
    <row r="3" spans="1:18" ht="50.15" customHeight="1" x14ac:dyDescent="0.35">
      <c r="A3" s="292" t="s">
        <v>34</v>
      </c>
      <c r="B3" s="293" t="s">
        <v>486</v>
      </c>
      <c r="C3" s="293" t="s">
        <v>104</v>
      </c>
      <c r="D3" s="292" t="s">
        <v>106</v>
      </c>
      <c r="E3" s="294" t="s">
        <v>107</v>
      </c>
      <c r="F3" s="23" t="s">
        <v>108</v>
      </c>
      <c r="G3" s="112"/>
      <c r="H3" s="101" t="s">
        <v>109</v>
      </c>
      <c r="I3" s="113" t="s">
        <v>41</v>
      </c>
      <c r="J3" s="125" t="s">
        <v>43</v>
      </c>
      <c r="K3" s="104" t="s">
        <v>44</v>
      </c>
      <c r="L3" s="114" t="s">
        <v>62</v>
      </c>
      <c r="O3" s="459" t="s">
        <v>3178</v>
      </c>
      <c r="P3" s="460"/>
      <c r="Q3" s="461"/>
    </row>
    <row r="4" spans="1:18" ht="16" x14ac:dyDescent="0.35">
      <c r="A4" s="66">
        <v>1</v>
      </c>
      <c r="B4" s="63" t="s">
        <v>48</v>
      </c>
      <c r="C4" s="56"/>
      <c r="D4" s="134" t="s">
        <v>112</v>
      </c>
      <c r="E4" s="103" t="str">
        <f>IFERROR(VLOOKUP(B4,'Categories List'!B$2:C$36,2,FALSE),"")</f>
        <v>Priority 1</v>
      </c>
      <c r="F4" s="17"/>
      <c r="H4" s="16"/>
      <c r="I4" s="42"/>
      <c r="L4" s="32"/>
      <c r="O4" s="115">
        <f>L95</f>
        <v>12</v>
      </c>
      <c r="P4" s="295" t="s">
        <v>61</v>
      </c>
      <c r="Q4" s="41" t="s">
        <v>62</v>
      </c>
    </row>
    <row r="5" spans="1:18" x14ac:dyDescent="0.35">
      <c r="A5">
        <v>1.1000000000000001</v>
      </c>
      <c r="B5" s="8" t="s">
        <v>115</v>
      </c>
      <c r="C5" t="s">
        <v>116</v>
      </c>
      <c r="D5" s="130" t="s">
        <v>112</v>
      </c>
      <c r="E5" s="102" t="str">
        <f>IFERROR(VLOOKUP(B5,'Categories List'!B$2:C$36,2,FALSE),"")</f>
        <v/>
      </c>
      <c r="F5" s="88" t="str">
        <f>INDEX('Applications List'!$P$5:$P$181, MATCH(B5, 'Applications List'!$B$5:$B$181, 0))</f>
        <v>Maybe</v>
      </c>
      <c r="G5" s="91"/>
      <c r="H5" s="99" t="str">
        <f>INDEX('Applications List'!$R$5:$R$181, MATCH(B5, 'Applications List'!$B$5:$B$181, 0))</f>
        <v>No</v>
      </c>
      <c r="I5" s="124">
        <f>INDEX('Applications List'!$X$4:$X$181, MATCH(B5, 'Applications List'!$B$4:$B$181, 0))</f>
        <v>0.125</v>
      </c>
      <c r="J5" s="112">
        <f>+IF(AND(I5&gt;0.49,I5&lt;0.59),1,0)</f>
        <v>0</v>
      </c>
      <c r="K5" s="112">
        <f>+IF(AND(I5&gt;0.6,I5&lt;0.74),1,0)</f>
        <v>0</v>
      </c>
      <c r="L5" s="123">
        <f t="shared" ref="L5:L66" si="0">+IF(I5&gt;0.74,1,0)</f>
        <v>0</v>
      </c>
      <c r="O5" s="50">
        <f>K92</f>
        <v>9</v>
      </c>
      <c r="P5" s="286" t="s">
        <v>52</v>
      </c>
      <c r="Q5" s="41" t="s">
        <v>44</v>
      </c>
    </row>
    <row r="6" spans="1:18" x14ac:dyDescent="0.35">
      <c r="A6">
        <v>1.2</v>
      </c>
      <c r="B6" s="118" t="s">
        <v>123</v>
      </c>
      <c r="C6" t="s">
        <v>124</v>
      </c>
      <c r="D6" s="130" t="s">
        <v>112</v>
      </c>
      <c r="E6" s="102" t="str">
        <f>IFERROR(VLOOKUP(B6,'Categories List'!B$2:C$36,2,FALSE),"")</f>
        <v/>
      </c>
      <c r="F6" s="26" t="str">
        <f>INDEX('Applications List'!$P$5:$P$181, MATCH(B6, 'Applications List'!$B$5:$B$181, 0))</f>
        <v>Yes</v>
      </c>
      <c r="H6" s="16" t="str">
        <f>INDEX('Applications List'!$R$5:$R$181, MATCH(B6, 'Applications List'!$B$5:$B$181, 0))</f>
        <v>Yes</v>
      </c>
      <c r="I6" s="71">
        <f>INDEX('Applications List'!$X$4:$X$181, MATCH(B6, 'Applications List'!$B$4:$B$181, 0))</f>
        <v>1</v>
      </c>
      <c r="J6" s="102">
        <f t="shared" ref="J6:J66" si="1">+IF(AND(I6&gt;0.49,I6&lt;0.59),1,0)</f>
        <v>0</v>
      </c>
      <c r="K6" s="102">
        <f t="shared" ref="K6:K69" si="2">+IF(AND(I6&gt;0.6,I6&lt;0.74),1,0)</f>
        <v>0</v>
      </c>
      <c r="L6" s="120">
        <f t="shared" si="0"/>
        <v>1</v>
      </c>
      <c r="O6" s="116">
        <f>J92</f>
        <v>8</v>
      </c>
      <c r="P6" s="296" t="s">
        <v>55</v>
      </c>
      <c r="Q6" s="41" t="s">
        <v>65</v>
      </c>
    </row>
    <row r="7" spans="1:18" x14ac:dyDescent="0.35">
      <c r="A7">
        <v>1.3</v>
      </c>
      <c r="B7" s="118" t="s">
        <v>128</v>
      </c>
      <c r="C7" t="s">
        <v>129</v>
      </c>
      <c r="D7" s="130" t="s">
        <v>112</v>
      </c>
      <c r="E7" s="102" t="str">
        <f>IFERROR(VLOOKUP(B7,'Categories List'!B$2:C$36,2,FALSE),"")</f>
        <v/>
      </c>
      <c r="F7" s="26" t="str">
        <f>INDEX('Applications List'!$P$5:$P$181, MATCH(B7, 'Applications List'!$B$5:$B$181, 0))</f>
        <v>Yes</v>
      </c>
      <c r="H7" s="16" t="str">
        <f>INDEX('Applications List'!$R$5:$R$181, MATCH(B7, 'Applications List'!$B$5:$B$181, 0))</f>
        <v>Yes</v>
      </c>
      <c r="I7" s="71">
        <f>INDEX('Applications List'!$X$4:$X$181, MATCH(B7, 'Applications List'!$B$4:$B$181, 0))</f>
        <v>1</v>
      </c>
      <c r="J7" s="102">
        <f t="shared" si="1"/>
        <v>0</v>
      </c>
      <c r="K7" s="102">
        <f t="shared" si="2"/>
        <v>0</v>
      </c>
      <c r="L7" s="120">
        <f t="shared" si="0"/>
        <v>1</v>
      </c>
      <c r="O7" s="2">
        <f>SUM(O4:O6)</f>
        <v>29</v>
      </c>
      <c r="P7" s="117" t="s">
        <v>3308</v>
      </c>
    </row>
    <row r="8" spans="1:18" x14ac:dyDescent="0.35">
      <c r="A8">
        <v>1.4</v>
      </c>
      <c r="B8" s="118" t="s">
        <v>131</v>
      </c>
      <c r="C8" t="s">
        <v>132</v>
      </c>
      <c r="D8" s="130" t="s">
        <v>112</v>
      </c>
      <c r="E8" s="102" t="str">
        <f>IFERROR(VLOOKUP(B8,'Categories List'!B$2:C$36,2,FALSE),"")</f>
        <v/>
      </c>
      <c r="F8" s="26" t="str">
        <f>INDEX('Applications List'!$P$5:$P$181, MATCH(B8, 'Applications List'!$B$5:$B$181, 0))</f>
        <v>Yes</v>
      </c>
      <c r="H8" s="16" t="str">
        <f>INDEX('Applications List'!$R$5:$R$181, MATCH(B8, 'Applications List'!$B$5:$B$181, 0))</f>
        <v>Yes</v>
      </c>
      <c r="I8" s="71">
        <f>INDEX('Applications List'!$X$4:$X$181, MATCH(B8, 'Applications List'!$B$4:$B$181, 0))</f>
        <v>0.875</v>
      </c>
      <c r="J8" s="102">
        <f t="shared" si="1"/>
        <v>0</v>
      </c>
      <c r="K8" s="102">
        <f t="shared" si="2"/>
        <v>0</v>
      </c>
      <c r="L8" s="120">
        <f t="shared" si="0"/>
        <v>1</v>
      </c>
    </row>
    <row r="9" spans="1:18" x14ac:dyDescent="0.35">
      <c r="A9">
        <v>1.5</v>
      </c>
      <c r="B9" s="8" t="s">
        <v>134</v>
      </c>
      <c r="C9" t="s">
        <v>135</v>
      </c>
      <c r="D9" s="130" t="s">
        <v>112</v>
      </c>
      <c r="E9" s="102" t="str">
        <f>IFERROR(VLOOKUP(B9,'Categories List'!B$2:C$36,2,FALSE),"")</f>
        <v/>
      </c>
      <c r="F9" s="26" t="str">
        <f>INDEX('Applications List'!$P$5:$P$181, MATCH(B9, 'Applications List'!$B$5:$B$181, 0))</f>
        <v>Maybe</v>
      </c>
      <c r="H9" s="16" t="str">
        <f>INDEX('Applications List'!$R$5:$R$181, MATCH(B9, 'Applications List'!$B$5:$B$181, 0))</f>
        <v>No</v>
      </c>
      <c r="I9" s="71">
        <f>INDEX('Applications List'!$X$4:$X$181, MATCH(B9, 'Applications List'!$B$4:$B$181, 0))</f>
        <v>0.125</v>
      </c>
      <c r="J9" s="102">
        <f t="shared" si="1"/>
        <v>0</v>
      </c>
      <c r="K9" s="102">
        <f t="shared" si="2"/>
        <v>0</v>
      </c>
      <c r="L9" s="120">
        <f t="shared" si="0"/>
        <v>0</v>
      </c>
    </row>
    <row r="10" spans="1:18" x14ac:dyDescent="0.35">
      <c r="A10">
        <v>1.6</v>
      </c>
      <c r="B10" s="8" t="s">
        <v>137</v>
      </c>
      <c r="C10" t="s">
        <v>138</v>
      </c>
      <c r="D10" s="130" t="s">
        <v>112</v>
      </c>
      <c r="E10" s="102" t="str">
        <f>IFERROR(VLOOKUP(B10,'Categories List'!B$2:C$36,2,FALSE),"")</f>
        <v/>
      </c>
      <c r="F10" s="26" t="str">
        <f>INDEX('Applications List'!$P$5:$P$181, MATCH(B10, 'Applications List'!$B$5:$B$181, 0))</f>
        <v>Yes</v>
      </c>
      <c r="H10" s="16" t="str">
        <f>INDEX('Applications List'!$R$5:$R$181, MATCH(B10, 'Applications List'!$B$5:$B$181, 0))</f>
        <v>Yes</v>
      </c>
      <c r="I10" s="71">
        <f>INDEX('Applications List'!$X$4:$X$181, MATCH(B10, 'Applications List'!$B$4:$B$181, 0))</f>
        <v>0.625</v>
      </c>
      <c r="J10" s="102">
        <f t="shared" si="1"/>
        <v>0</v>
      </c>
      <c r="K10" s="102">
        <f t="shared" si="2"/>
        <v>1</v>
      </c>
      <c r="L10" s="120">
        <f t="shared" si="0"/>
        <v>0</v>
      </c>
    </row>
    <row r="11" spans="1:18" x14ac:dyDescent="0.35">
      <c r="A11">
        <v>1.7</v>
      </c>
      <c r="B11" s="8" t="s">
        <v>140</v>
      </c>
      <c r="C11" t="s">
        <v>141</v>
      </c>
      <c r="D11" s="130" t="s">
        <v>112</v>
      </c>
      <c r="E11" s="102" t="str">
        <f>IFERROR(VLOOKUP(B11,'Categories List'!B$2:C$36,2,FALSE),"")</f>
        <v/>
      </c>
      <c r="F11" s="26" t="str">
        <f>INDEX('Applications List'!$P$5:$P$181, MATCH(B11, 'Applications List'!$B$5:$B$181, 0))</f>
        <v>Maybe</v>
      </c>
      <c r="H11" s="16" t="str">
        <f>INDEX('Applications List'!$R$5:$R$181, MATCH(B11, 'Applications List'!$B$5:$B$181, 0))</f>
        <v>Maybe</v>
      </c>
      <c r="I11" s="71">
        <f>INDEX('Applications List'!$X$4:$X$181, MATCH(B11, 'Applications List'!$B$4:$B$181, 0))</f>
        <v>0.5</v>
      </c>
      <c r="J11" s="102">
        <f t="shared" si="1"/>
        <v>1</v>
      </c>
      <c r="K11" s="102">
        <f t="shared" si="2"/>
        <v>0</v>
      </c>
      <c r="L11" s="120">
        <f t="shared" si="0"/>
        <v>0</v>
      </c>
      <c r="P11" s="1" t="s">
        <v>49</v>
      </c>
    </row>
    <row r="12" spans="1:18" x14ac:dyDescent="0.35">
      <c r="A12">
        <v>1.8</v>
      </c>
      <c r="B12" s="8" t="s">
        <v>143</v>
      </c>
      <c r="C12" t="s">
        <v>144</v>
      </c>
      <c r="D12" s="130" t="s">
        <v>112</v>
      </c>
      <c r="E12" s="102" t="str">
        <f>IFERROR(VLOOKUP(B12,'Categories List'!B$2:C$36,2,FALSE),"")</f>
        <v/>
      </c>
      <c r="F12" s="27" t="str">
        <f>INDEX('Applications List'!$P$5:$P$181, MATCH(B12, 'Applications List'!$B$5:$B$181, 0))</f>
        <v>Maybe</v>
      </c>
      <c r="G12" s="19"/>
      <c r="H12" s="18" t="str">
        <f>INDEX('Applications List'!$R$5:$R$181, MATCH(B12, 'Applications List'!$B$5:$B$181, 0))</f>
        <v>Maybe</v>
      </c>
      <c r="I12" s="71">
        <f>INDEX('Applications List'!$X$4:$X$181, MATCH(B12, 'Applications List'!$B$4:$B$181, 0))</f>
        <v>0.25</v>
      </c>
      <c r="J12" s="102">
        <f t="shared" si="1"/>
        <v>0</v>
      </c>
      <c r="K12" s="102">
        <f t="shared" si="2"/>
        <v>0</v>
      </c>
      <c r="L12" s="120">
        <f t="shared" si="0"/>
        <v>0</v>
      </c>
      <c r="P12" s="358" t="s">
        <v>123</v>
      </c>
      <c r="R12" s="351"/>
    </row>
    <row r="13" spans="1:18" ht="16" x14ac:dyDescent="0.35">
      <c r="A13" s="62">
        <v>28</v>
      </c>
      <c r="B13" s="63" t="s">
        <v>87</v>
      </c>
      <c r="C13" s="56"/>
      <c r="D13" s="134" t="s">
        <v>346</v>
      </c>
      <c r="E13" s="103" t="str">
        <f>IFERROR(VLOOKUP(B13,'Categories List'!B$2:C$36,2,FALSE),"")</f>
        <v>Priority 1</v>
      </c>
      <c r="F13" s="17"/>
      <c r="H13" s="16"/>
      <c r="I13" s="71">
        <f>INDEX('Applications List'!$X$4:$X$181, MATCH(B13, 'Applications List'!$B$4:$B$181, 0))</f>
        <v>0</v>
      </c>
      <c r="J13" s="102">
        <f t="shared" si="1"/>
        <v>0</v>
      </c>
      <c r="K13" s="102">
        <f t="shared" si="2"/>
        <v>0</v>
      </c>
      <c r="L13" s="120">
        <f t="shared" si="0"/>
        <v>0</v>
      </c>
      <c r="P13" s="358" t="s">
        <v>128</v>
      </c>
      <c r="R13" s="351"/>
    </row>
    <row r="14" spans="1:18" x14ac:dyDescent="0.35">
      <c r="A14">
        <v>28.1</v>
      </c>
      <c r="B14" s="8" t="s">
        <v>438</v>
      </c>
      <c r="C14" t="s">
        <v>439</v>
      </c>
      <c r="D14" s="130" t="s">
        <v>346</v>
      </c>
      <c r="E14" s="102" t="str">
        <f>IFERROR(VLOOKUP(B14,'Categories List'!B$2:C$36,2,FALSE),"")</f>
        <v/>
      </c>
      <c r="F14" s="88" t="str">
        <f>INDEX('Applications List'!$P$4:$P$181, MATCH(B14, 'Applications List'!$B$4:$B$181, 0))</f>
        <v>Yes</v>
      </c>
      <c r="G14" s="91"/>
      <c r="H14" s="99" t="str">
        <f>INDEX('Applications List'!$R$5:$R$181, MATCH(B14, 'Applications List'!$B$5:$B$181, 0))</f>
        <v>Yes</v>
      </c>
      <c r="I14" s="71">
        <f>INDEX('Applications List'!$X$4:$X$181, MATCH(B14, 'Applications List'!$B$4:$B$181, 0))</f>
        <v>0.625</v>
      </c>
      <c r="J14" s="102">
        <f t="shared" si="1"/>
        <v>0</v>
      </c>
      <c r="K14" s="102">
        <f t="shared" si="2"/>
        <v>1</v>
      </c>
      <c r="L14" s="120">
        <f t="shared" si="0"/>
        <v>0</v>
      </c>
      <c r="P14" s="358" t="s">
        <v>131</v>
      </c>
      <c r="R14" s="351"/>
    </row>
    <row r="15" spans="1:18" x14ac:dyDescent="0.35">
      <c r="A15">
        <v>28.2</v>
      </c>
      <c r="B15" s="118" t="s">
        <v>441</v>
      </c>
      <c r="C15" t="s">
        <v>442</v>
      </c>
      <c r="D15" s="130" t="s">
        <v>346</v>
      </c>
      <c r="E15" s="102" t="str">
        <f>IFERROR(VLOOKUP(B15,'Categories List'!B$2:C$36,2,FALSE),"")</f>
        <v/>
      </c>
      <c r="F15" s="26" t="str">
        <f>INDEX('Applications List'!$P$4:$P$181, MATCH(B15, 'Applications List'!$B$4:$B$181, 0))</f>
        <v>Yes</v>
      </c>
      <c r="H15" s="16" t="str">
        <f>INDEX('Applications List'!$R$5:$R$181, MATCH(B15, 'Applications List'!$B$5:$B$181, 0))</f>
        <v>Yes</v>
      </c>
      <c r="I15" s="71">
        <f>INDEX('Applications List'!$X$4:$X$181, MATCH(B15, 'Applications List'!$B$4:$B$181, 0))</f>
        <v>0.75</v>
      </c>
      <c r="J15" s="102">
        <f t="shared" si="1"/>
        <v>0</v>
      </c>
      <c r="K15" s="102">
        <f t="shared" si="2"/>
        <v>0</v>
      </c>
      <c r="L15" s="120">
        <f t="shared" si="0"/>
        <v>1</v>
      </c>
      <c r="P15" s="358" t="s">
        <v>441</v>
      </c>
      <c r="R15" s="351"/>
    </row>
    <row r="16" spans="1:18" x14ac:dyDescent="0.35">
      <c r="A16">
        <v>28.3</v>
      </c>
      <c r="B16" s="8" t="s">
        <v>444</v>
      </c>
      <c r="C16" t="s">
        <v>445</v>
      </c>
      <c r="D16" s="130" t="s">
        <v>346</v>
      </c>
      <c r="E16" s="102" t="str">
        <f>IFERROR(VLOOKUP(B16,'Categories List'!B$2:C$36,2,FALSE),"")</f>
        <v/>
      </c>
      <c r="F16" s="26" t="str">
        <f>INDEX('Applications List'!$P$4:$P$181, MATCH(B16, 'Applications List'!$B$4:$B$181, 0))</f>
        <v>Yes</v>
      </c>
      <c r="H16" s="16" t="str">
        <f>INDEX('Applications List'!$R$5:$R$181, MATCH(B16, 'Applications List'!$B$5:$B$181, 0))</f>
        <v>Yes</v>
      </c>
      <c r="I16" s="71">
        <f>INDEX('Applications List'!$X$4:$X$181, MATCH(B16, 'Applications List'!$B$4:$B$181, 0))</f>
        <v>0.625</v>
      </c>
      <c r="J16" s="102">
        <f t="shared" si="1"/>
        <v>0</v>
      </c>
      <c r="K16" s="102">
        <f t="shared" si="2"/>
        <v>1</v>
      </c>
      <c r="L16" s="120">
        <f t="shared" si="0"/>
        <v>0</v>
      </c>
      <c r="P16" s="358" t="s">
        <v>474</v>
      </c>
      <c r="R16" s="351"/>
    </row>
    <row r="17" spans="1:18" x14ac:dyDescent="0.35">
      <c r="A17">
        <v>28.4</v>
      </c>
      <c r="B17" s="8" t="s">
        <v>447</v>
      </c>
      <c r="C17" t="s">
        <v>448</v>
      </c>
      <c r="D17" s="130" t="s">
        <v>346</v>
      </c>
      <c r="E17" s="102" t="str">
        <f>IFERROR(VLOOKUP(B17,'Categories List'!B$2:C$36,2,FALSE),"")</f>
        <v/>
      </c>
      <c r="F17" s="26" t="str">
        <f>INDEX('Applications List'!$P$4:$P$181, MATCH(B17, 'Applications List'!$B$4:$B$181, 0))</f>
        <v>Yes</v>
      </c>
      <c r="H17" s="16" t="str">
        <f>INDEX('Applications List'!$R$5:$R$181, MATCH(B17, 'Applications List'!$B$5:$B$181, 0))</f>
        <v>Yes</v>
      </c>
      <c r="I17" s="71">
        <f>INDEX('Applications List'!$X$4:$X$181, MATCH(B17, 'Applications List'!$B$4:$B$181, 0))</f>
        <v>0.5</v>
      </c>
      <c r="J17" s="102">
        <f t="shared" si="1"/>
        <v>1</v>
      </c>
      <c r="K17" s="102">
        <f t="shared" si="2"/>
        <v>0</v>
      </c>
      <c r="L17" s="120">
        <f t="shared" si="0"/>
        <v>0</v>
      </c>
      <c r="P17" s="358" t="s">
        <v>269</v>
      </c>
      <c r="R17" s="351"/>
    </row>
    <row r="18" spans="1:18" x14ac:dyDescent="0.35">
      <c r="A18">
        <v>28.5</v>
      </c>
      <c r="B18" s="8" t="s">
        <v>450</v>
      </c>
      <c r="C18" t="s">
        <v>451</v>
      </c>
      <c r="D18" s="130" t="s">
        <v>346</v>
      </c>
      <c r="E18" s="102" t="str">
        <f>IFERROR(VLOOKUP(B18,'Categories List'!B$2:C$36,2,FALSE),"")</f>
        <v/>
      </c>
      <c r="F18" s="26" t="str">
        <f>INDEX('Applications List'!$P$4:$P$181, MATCH(B18, 'Applications List'!$B$4:$B$181, 0))</f>
        <v>Maybe</v>
      </c>
      <c r="H18" s="16" t="str">
        <f>INDEX('Applications List'!$R$5:$R$181, MATCH(B18, 'Applications List'!$B$5:$B$181, 0))</f>
        <v>No</v>
      </c>
      <c r="I18" s="71">
        <f>INDEX('Applications List'!$X$4:$X$181, MATCH(B18, 'Applications List'!$B$4:$B$181, 0))</f>
        <v>0.25</v>
      </c>
      <c r="J18" s="102">
        <f t="shared" si="1"/>
        <v>0</v>
      </c>
      <c r="K18" s="102">
        <f t="shared" si="2"/>
        <v>0</v>
      </c>
      <c r="L18" s="120">
        <f t="shared" si="0"/>
        <v>0</v>
      </c>
      <c r="P18" s="358" t="s">
        <v>272</v>
      </c>
      <c r="R18" s="351"/>
    </row>
    <row r="19" spans="1:18" x14ac:dyDescent="0.35">
      <c r="A19">
        <v>28.6</v>
      </c>
      <c r="B19" s="8" t="s">
        <v>453</v>
      </c>
      <c r="C19" t="s">
        <v>454</v>
      </c>
      <c r="D19" s="130" t="s">
        <v>346</v>
      </c>
      <c r="E19" s="102" t="str">
        <f>IFERROR(VLOOKUP(B19,'Categories List'!B$2:C$36,2,FALSE),"")</f>
        <v/>
      </c>
      <c r="F19" s="26" t="str">
        <f>INDEX('Applications List'!$P$4:$P$181, MATCH(B19, 'Applications List'!$B$4:$B$181, 0))</f>
        <v>Yes</v>
      </c>
      <c r="H19" s="16" t="str">
        <f>INDEX('Applications List'!$R$5:$R$181, MATCH(B19, 'Applications List'!$B$5:$B$181, 0))</f>
        <v>Yes</v>
      </c>
      <c r="I19" s="71">
        <f>INDEX('Applications List'!$X$4:$X$181, MATCH(B19, 'Applications List'!$B$4:$B$181, 0))</f>
        <v>0.625</v>
      </c>
      <c r="J19" s="102">
        <f t="shared" si="1"/>
        <v>0</v>
      </c>
      <c r="K19" s="102">
        <f t="shared" si="2"/>
        <v>1</v>
      </c>
      <c r="L19" s="120">
        <f t="shared" si="0"/>
        <v>0</v>
      </c>
      <c r="P19" s="358" t="s">
        <v>275</v>
      </c>
      <c r="R19" s="351"/>
    </row>
    <row r="20" spans="1:18" x14ac:dyDescent="0.35">
      <c r="A20">
        <v>28.7</v>
      </c>
      <c r="B20" s="8" t="s">
        <v>456</v>
      </c>
      <c r="C20" t="s">
        <v>457</v>
      </c>
      <c r="D20" s="130" t="s">
        <v>346</v>
      </c>
      <c r="E20" s="102" t="str">
        <f>IFERROR(VLOOKUP(B20,'Categories List'!B$2:C$36,2,FALSE),"")</f>
        <v/>
      </c>
      <c r="F20" s="27" t="str">
        <f>INDEX('Applications List'!$P$4:$P$181, MATCH(B20, 'Applications List'!$B$4:$B$181, 0))</f>
        <v>Maybe</v>
      </c>
      <c r="G20" s="19"/>
      <c r="H20" s="18" t="str">
        <f>INDEX('Applications List'!$R$5:$R$181, MATCH(B20, 'Applications List'!$B$5:$B$181, 0))</f>
        <v>No</v>
      </c>
      <c r="I20" s="71">
        <f>INDEX('Applications List'!$X$4:$X$181, MATCH(B20, 'Applications List'!$B$4:$B$181, 0))</f>
        <v>0.25</v>
      </c>
      <c r="J20" s="102">
        <f t="shared" si="1"/>
        <v>0</v>
      </c>
      <c r="K20" s="102">
        <f t="shared" si="2"/>
        <v>0</v>
      </c>
      <c r="L20" s="120">
        <f t="shared" si="0"/>
        <v>0</v>
      </c>
      <c r="P20" s="358" t="s">
        <v>278</v>
      </c>
      <c r="R20" s="351"/>
    </row>
    <row r="21" spans="1:18" ht="16" x14ac:dyDescent="0.4">
      <c r="A21" s="148">
        <v>34</v>
      </c>
      <c r="B21" s="63" t="s">
        <v>93</v>
      </c>
      <c r="C21" s="56"/>
      <c r="D21" s="134" t="s">
        <v>284</v>
      </c>
      <c r="E21" s="103" t="str">
        <f>IFERROR(VLOOKUP(B21,'Categories List'!B$2:C$36,2,FALSE),"")</f>
        <v>Priority 1</v>
      </c>
      <c r="F21" s="17"/>
      <c r="H21" s="16"/>
      <c r="I21" s="71">
        <f>INDEX('Applications List'!$X$4:$X$181, MATCH(B21, 'Applications List'!$B$4:$B$181, 0))</f>
        <v>0</v>
      </c>
      <c r="J21" s="102">
        <f t="shared" si="1"/>
        <v>0</v>
      </c>
      <c r="K21" s="102">
        <f t="shared" si="2"/>
        <v>0</v>
      </c>
      <c r="L21" s="120">
        <f t="shared" si="0"/>
        <v>0</v>
      </c>
      <c r="P21" s="358" t="s">
        <v>326</v>
      </c>
      <c r="R21" s="351"/>
    </row>
    <row r="22" spans="1:18" x14ac:dyDescent="0.35">
      <c r="A22">
        <v>34.1</v>
      </c>
      <c r="B22" s="12" t="s">
        <v>474</v>
      </c>
      <c r="C22" t="s">
        <v>475</v>
      </c>
      <c r="D22" s="130" t="s">
        <v>284</v>
      </c>
      <c r="E22" s="102" t="str">
        <f>IFERROR(VLOOKUP(B22,'Categories List'!B$2:C$36,2,FALSE),"")</f>
        <v/>
      </c>
      <c r="F22" s="88" t="str">
        <f>INDEX('Applications List'!$P$4:$P$181, MATCH(B22, 'Applications List'!$B$4:$B$181, 0))</f>
        <v>Yes</v>
      </c>
      <c r="G22" s="91"/>
      <c r="H22" s="99" t="str">
        <f>INDEX('Applications List'!$R$5:$R$181, MATCH(B22, 'Applications List'!$B$5:$B$181, 0))</f>
        <v>Yes</v>
      </c>
      <c r="I22" s="71">
        <f>INDEX('Applications List'!$X$4:$X$181, MATCH(B22, 'Applications List'!$B$4:$B$181, 0))</f>
        <v>0.75</v>
      </c>
      <c r="J22" s="102">
        <f t="shared" si="1"/>
        <v>0</v>
      </c>
      <c r="K22" s="102">
        <f t="shared" si="2"/>
        <v>0</v>
      </c>
      <c r="L22" s="120">
        <f t="shared" si="0"/>
        <v>1</v>
      </c>
      <c r="P22" s="358" t="s">
        <v>329</v>
      </c>
      <c r="R22" s="351"/>
    </row>
    <row r="23" spans="1:18" x14ac:dyDescent="0.35">
      <c r="A23">
        <v>34.200000000000003</v>
      </c>
      <c r="B23" s="8" t="s">
        <v>476</v>
      </c>
      <c r="C23" t="s">
        <v>477</v>
      </c>
      <c r="D23" s="130" t="s">
        <v>284</v>
      </c>
      <c r="E23" s="102" t="str">
        <f>IFERROR(VLOOKUP(B23,'Categories List'!B$2:C$36,2,FALSE),"")</f>
        <v/>
      </c>
      <c r="F23" s="26" t="str">
        <f>INDEX('Applications List'!$P$4:$P$181, MATCH(B23, 'Applications List'!$B$4:$B$181, 0))</f>
        <v>Maybe</v>
      </c>
      <c r="H23" s="16" t="str">
        <f>INDEX('Applications List'!$R$5:$R$181, MATCH(B23, 'Applications List'!$B$5:$B$181, 0))</f>
        <v>Maybe</v>
      </c>
      <c r="I23" s="71">
        <f>INDEX('Applications List'!$X$4:$X$181, MATCH(B23, 'Applications List'!$B$4:$B$181, 0))</f>
        <v>0.375</v>
      </c>
      <c r="J23" s="102">
        <f t="shared" si="1"/>
        <v>0</v>
      </c>
      <c r="K23" s="102">
        <f t="shared" si="2"/>
        <v>0</v>
      </c>
      <c r="L23" s="120">
        <f t="shared" si="0"/>
        <v>0</v>
      </c>
      <c r="P23" s="358" t="s">
        <v>393</v>
      </c>
      <c r="R23" s="351"/>
    </row>
    <row r="24" spans="1:18" x14ac:dyDescent="0.35">
      <c r="A24">
        <v>34.299999999999997</v>
      </c>
      <c r="B24" s="8" t="s">
        <v>478</v>
      </c>
      <c r="C24" t="s">
        <v>479</v>
      </c>
      <c r="D24" s="130" t="s">
        <v>284</v>
      </c>
      <c r="E24" s="102" t="str">
        <f>IFERROR(VLOOKUP(B24,'Categories List'!B$2:C$36,2,FALSE),"")</f>
        <v/>
      </c>
      <c r="F24" s="26" t="str">
        <f>INDEX('Applications List'!$P$4:$P$181, MATCH(B24, 'Applications List'!$B$4:$B$181, 0))</f>
        <v>Maybe</v>
      </c>
      <c r="H24" s="16" t="str">
        <f>INDEX('Applications List'!$R$5:$R$181, MATCH(B24, 'Applications List'!$B$5:$B$181, 0))</f>
        <v>No</v>
      </c>
      <c r="I24" s="71">
        <f>INDEX('Applications List'!$X$4:$X$181, MATCH(B24, 'Applications List'!$B$4:$B$181, 0))</f>
        <v>0.25</v>
      </c>
      <c r="J24" s="102">
        <f t="shared" si="1"/>
        <v>0</v>
      </c>
      <c r="K24" s="102">
        <f t="shared" si="2"/>
        <v>0</v>
      </c>
      <c r="L24" s="120">
        <f t="shared" si="0"/>
        <v>0</v>
      </c>
      <c r="R24" s="351"/>
    </row>
    <row r="25" spans="1:18" x14ac:dyDescent="0.35">
      <c r="A25">
        <v>34.4</v>
      </c>
      <c r="B25" s="8" t="s">
        <v>480</v>
      </c>
      <c r="C25" t="s">
        <v>481</v>
      </c>
      <c r="D25" s="130" t="s">
        <v>284</v>
      </c>
      <c r="E25" s="102" t="str">
        <f>IFERROR(VLOOKUP(B25,'Categories List'!B$2:C$36,2,FALSE),"")</f>
        <v/>
      </c>
      <c r="F25" s="26" t="str">
        <f>INDEX('Applications List'!$P$4:$P$181, MATCH(B25, 'Applications List'!$B$4:$B$181, 0))</f>
        <v>Maybe</v>
      </c>
      <c r="H25" s="16" t="str">
        <f>INDEX('Applications List'!$R$5:$R$181, MATCH(B25, 'Applications List'!$B$5:$B$181, 0))</f>
        <v>Maybe</v>
      </c>
      <c r="I25" s="71">
        <f>INDEX('Applications List'!$X$4:$X$181, MATCH(B25, 'Applications List'!$B$4:$B$181, 0))</f>
        <v>0.375</v>
      </c>
      <c r="J25" s="102">
        <f t="shared" si="1"/>
        <v>0</v>
      </c>
      <c r="K25" s="102">
        <f t="shared" si="2"/>
        <v>0</v>
      </c>
      <c r="L25" s="120">
        <f t="shared" si="0"/>
        <v>0</v>
      </c>
      <c r="P25" s="1" t="s">
        <v>52</v>
      </c>
      <c r="R25" s="351"/>
    </row>
    <row r="26" spans="1:18" x14ac:dyDescent="0.35">
      <c r="A26">
        <v>34.5</v>
      </c>
      <c r="B26" s="8" t="s">
        <v>482</v>
      </c>
      <c r="C26" t="s">
        <v>483</v>
      </c>
      <c r="D26" s="130" t="s">
        <v>284</v>
      </c>
      <c r="E26" s="102" t="str">
        <f>IFERROR(VLOOKUP(B26,'Categories List'!B$2:C$36,2,FALSE),"")</f>
        <v/>
      </c>
      <c r="F26" s="26" t="str">
        <f>INDEX('Applications List'!$P$4:$P$181, MATCH(B26, 'Applications List'!$B$4:$B$181, 0))</f>
        <v>Maybe</v>
      </c>
      <c r="H26" s="16" t="str">
        <f>INDEX('Applications List'!$R$5:$R$181, MATCH(B26, 'Applications List'!$B$5:$B$181, 0))</f>
        <v>No</v>
      </c>
      <c r="I26" s="71">
        <f>INDEX('Applications List'!$X$4:$X$181, MATCH(B26, 'Applications List'!$B$4:$B$181, 0))</f>
        <v>0.25</v>
      </c>
      <c r="J26" s="102">
        <f t="shared" si="1"/>
        <v>0</v>
      </c>
      <c r="K26" s="102">
        <f t="shared" si="2"/>
        <v>0</v>
      </c>
      <c r="L26" s="120">
        <f t="shared" si="0"/>
        <v>0</v>
      </c>
      <c r="P26" s="358" t="s">
        <v>137</v>
      </c>
      <c r="R26" s="351"/>
    </row>
    <row r="27" spans="1:18" x14ac:dyDescent="0.35">
      <c r="A27">
        <v>34.6</v>
      </c>
      <c r="B27" s="167" t="s">
        <v>484</v>
      </c>
      <c r="C27" t="s">
        <v>485</v>
      </c>
      <c r="D27" s="130" t="s">
        <v>284</v>
      </c>
      <c r="E27" s="102" t="str">
        <f>IFERROR(VLOOKUP(B27,'Categories List'!B$2:C$36,2,FALSE),"")</f>
        <v/>
      </c>
      <c r="F27" s="27" t="str">
        <f>INDEX('Applications List'!$P$4:$P$181, MATCH(B27, 'Applications List'!$B$4:$B$181, 0))</f>
        <v>Maybe</v>
      </c>
      <c r="G27" s="19"/>
      <c r="H27" s="18" t="str">
        <f>INDEX('Applications List'!$R$5:$R$181, MATCH(B27, 'Applications List'!$B$5:$B$181, 0))</f>
        <v>Maybe</v>
      </c>
      <c r="I27" s="71">
        <f>INDEX('Applications List'!$X$4:$X$181, MATCH(B27, 'Applications List'!$B$4:$B$181, 0))</f>
        <v>0.375</v>
      </c>
      <c r="J27" s="102">
        <f t="shared" si="1"/>
        <v>0</v>
      </c>
      <c r="K27" s="102">
        <f t="shared" si="2"/>
        <v>0</v>
      </c>
      <c r="L27" s="120">
        <f t="shared" si="0"/>
        <v>0</v>
      </c>
      <c r="P27" s="358" t="s">
        <v>438</v>
      </c>
      <c r="R27" s="351"/>
    </row>
    <row r="28" spans="1:18" ht="16" x14ac:dyDescent="0.35">
      <c r="A28" s="62">
        <v>11</v>
      </c>
      <c r="B28" s="63" t="s">
        <v>70</v>
      </c>
      <c r="C28" s="56"/>
      <c r="D28" s="134" t="s">
        <v>219</v>
      </c>
      <c r="E28" s="103" t="str">
        <f>IFERROR(VLOOKUP(B28,'Categories List'!B$2:C$36,2,FALSE),"")</f>
        <v>Priority 1</v>
      </c>
      <c r="F28" s="17"/>
      <c r="H28" s="16"/>
      <c r="I28" s="71">
        <f>INDEX('Applications List'!$X$4:$X$181, MATCH(B28, 'Applications List'!$B$4:$B$181, 0))</f>
        <v>0</v>
      </c>
      <c r="J28" s="102">
        <f t="shared" ref="J28:J44" si="3">+IF(AND(I28&gt;0.49,I28&lt;0.59),1,0)</f>
        <v>0</v>
      </c>
      <c r="K28" s="102">
        <f t="shared" ref="K28:K44" si="4">+IF(AND(I28&gt;0.6,I28&lt;0.74),1,0)</f>
        <v>0</v>
      </c>
      <c r="L28" s="120">
        <f t="shared" ref="L28:L44" si="5">+IF(I28&gt;0.74,1,0)</f>
        <v>0</v>
      </c>
      <c r="P28" s="358" t="s">
        <v>444</v>
      </c>
      <c r="R28" s="351"/>
    </row>
    <row r="29" spans="1:18" x14ac:dyDescent="0.35">
      <c r="A29">
        <v>11.1</v>
      </c>
      <c r="B29" s="118" t="s">
        <v>269</v>
      </c>
      <c r="C29" t="s">
        <v>270</v>
      </c>
      <c r="D29" s="130" t="s">
        <v>219</v>
      </c>
      <c r="E29" s="102" t="str">
        <f>IFERROR(VLOOKUP(B29,'Categories List'!B$2:C$36,2,FALSE),"")</f>
        <v/>
      </c>
      <c r="F29" s="88" t="str">
        <f>INDEX('Applications List'!$P$4:$P$181, MATCH(B29, 'Applications List'!$B$4:$B$181, 0))</f>
        <v>Yes</v>
      </c>
      <c r="G29" s="91"/>
      <c r="H29" s="99" t="str">
        <f>INDEX('Applications List'!$R$5:$R$181, MATCH(B29, 'Applications List'!$B$5:$B$181, 0))</f>
        <v>Yes</v>
      </c>
      <c r="I29" s="71">
        <f>INDEX('Applications List'!$X$4:$X$181, MATCH(B29, 'Applications List'!$B$4:$B$181, 0))</f>
        <v>1</v>
      </c>
      <c r="J29" s="102">
        <f t="shared" si="3"/>
        <v>0</v>
      </c>
      <c r="K29" s="102">
        <f t="shared" si="4"/>
        <v>0</v>
      </c>
      <c r="L29" s="120">
        <f t="shared" si="5"/>
        <v>1</v>
      </c>
      <c r="P29" s="358" t="s">
        <v>453</v>
      </c>
      <c r="R29" s="351"/>
    </row>
    <row r="30" spans="1:18" x14ac:dyDescent="0.35">
      <c r="A30">
        <v>11.2</v>
      </c>
      <c r="B30" s="118" t="s">
        <v>272</v>
      </c>
      <c r="C30" t="s">
        <v>273</v>
      </c>
      <c r="D30" s="130" t="s">
        <v>219</v>
      </c>
      <c r="E30" s="102" t="str">
        <f>IFERROR(VLOOKUP(B30,'Categories List'!B$2:C$36,2,FALSE),"")</f>
        <v/>
      </c>
      <c r="F30" s="26" t="str">
        <f>INDEX('Applications List'!$P$4:$P$181, MATCH(B30, 'Applications List'!$B$4:$B$181, 0))</f>
        <v>Yes</v>
      </c>
      <c r="H30" s="16" t="str">
        <f>INDEX('Applications List'!$R$5:$R$181, MATCH(B30, 'Applications List'!$B$5:$B$181, 0))</f>
        <v>Yes</v>
      </c>
      <c r="I30" s="71">
        <f>INDEX('Applications List'!$X$4:$X$181, MATCH(B30, 'Applications List'!$B$4:$B$181, 0))</f>
        <v>0.875</v>
      </c>
      <c r="J30" s="102">
        <f t="shared" si="3"/>
        <v>0</v>
      </c>
      <c r="K30" s="102">
        <f t="shared" si="4"/>
        <v>0</v>
      </c>
      <c r="L30" s="120">
        <f t="shared" si="5"/>
        <v>1</v>
      </c>
      <c r="P30" s="358" t="s">
        <v>281</v>
      </c>
      <c r="R30" s="351"/>
    </row>
    <row r="31" spans="1:18" x14ac:dyDescent="0.35">
      <c r="A31">
        <v>11.3</v>
      </c>
      <c r="B31" s="118" t="s">
        <v>275</v>
      </c>
      <c r="C31" t="s">
        <v>276</v>
      </c>
      <c r="D31" s="130" t="s">
        <v>219</v>
      </c>
      <c r="E31" s="102" t="str">
        <f>IFERROR(VLOOKUP(B31,'Categories List'!B$2:C$36,2,FALSE),"")</f>
        <v/>
      </c>
      <c r="F31" s="26" t="str">
        <f>INDEX('Applications List'!$P$4:$P$181, MATCH(B31, 'Applications List'!$B$4:$B$181, 0))</f>
        <v>Yes</v>
      </c>
      <c r="H31" s="16" t="str">
        <f>INDEX('Applications List'!$R$5:$R$181, MATCH(B31, 'Applications List'!$B$5:$B$181, 0))</f>
        <v>Yes</v>
      </c>
      <c r="I31" s="71">
        <f>INDEX('Applications List'!$X$4:$X$181, MATCH(B31, 'Applications List'!$B$4:$B$181, 0))</f>
        <v>0.875</v>
      </c>
      <c r="J31" s="102">
        <f t="shared" si="3"/>
        <v>0</v>
      </c>
      <c r="K31" s="102">
        <f t="shared" si="4"/>
        <v>0</v>
      </c>
      <c r="L31" s="120">
        <f t="shared" si="5"/>
        <v>1</v>
      </c>
      <c r="P31" s="358" t="s">
        <v>151</v>
      </c>
      <c r="R31" s="351"/>
    </row>
    <row r="32" spans="1:18" x14ac:dyDescent="0.35">
      <c r="A32">
        <v>11.4</v>
      </c>
      <c r="B32" s="118" t="s">
        <v>278</v>
      </c>
      <c r="C32" t="s">
        <v>279</v>
      </c>
      <c r="D32" s="130" t="s">
        <v>219</v>
      </c>
      <c r="E32" s="102" t="str">
        <f>IFERROR(VLOOKUP(B32,'Categories List'!B$2:C$36,2,FALSE),"")</f>
        <v/>
      </c>
      <c r="F32" s="26" t="str">
        <f>INDEX('Applications List'!$P$4:$P$181, MATCH(B32, 'Applications List'!$B$4:$B$181, 0))</f>
        <v>Yes</v>
      </c>
      <c r="H32" s="16" t="str">
        <f>INDEX('Applications List'!$R$5:$R$181, MATCH(B32, 'Applications List'!$B$5:$B$181, 0))</f>
        <v>Yes</v>
      </c>
      <c r="I32" s="71">
        <f>INDEX('Applications List'!$X$4:$X$181, MATCH(B32, 'Applications List'!$B$4:$B$181, 0))</f>
        <v>0.75</v>
      </c>
      <c r="J32" s="102">
        <f t="shared" si="3"/>
        <v>0</v>
      </c>
      <c r="K32" s="102">
        <f t="shared" si="4"/>
        <v>0</v>
      </c>
      <c r="L32" s="120">
        <f t="shared" si="5"/>
        <v>1</v>
      </c>
      <c r="P32" s="358" t="s">
        <v>160</v>
      </c>
      <c r="R32" s="351"/>
    </row>
    <row r="33" spans="1:18" x14ac:dyDescent="0.35">
      <c r="A33">
        <v>11.5</v>
      </c>
      <c r="B33" s="8" t="s">
        <v>281</v>
      </c>
      <c r="C33" t="s">
        <v>282</v>
      </c>
      <c r="D33" s="130" t="s">
        <v>219</v>
      </c>
      <c r="E33" s="102" t="str">
        <f>IFERROR(VLOOKUP(B33,'Categories List'!B$2:C$36,2,FALSE),"")</f>
        <v/>
      </c>
      <c r="F33" s="27" t="str">
        <f>INDEX('Applications List'!$P$4:$P$181, MATCH(B33, 'Applications List'!$B$4:$B$181, 0))</f>
        <v>Yes</v>
      </c>
      <c r="G33" s="19"/>
      <c r="H33" s="18" t="str">
        <f>INDEX('Applications List'!$R$5:$R$181, MATCH(B33, 'Applications List'!$B$5:$B$181, 0))</f>
        <v>Yes</v>
      </c>
      <c r="I33" s="71">
        <f>INDEX('Applications List'!$X$4:$X$181, MATCH(B33, 'Applications List'!$B$4:$B$181, 0))</f>
        <v>0.625</v>
      </c>
      <c r="J33" s="102">
        <f t="shared" si="3"/>
        <v>0</v>
      </c>
      <c r="K33" s="102">
        <f t="shared" si="4"/>
        <v>1</v>
      </c>
      <c r="L33" s="120">
        <f t="shared" si="5"/>
        <v>0</v>
      </c>
      <c r="P33" s="358" t="s">
        <v>163</v>
      </c>
      <c r="R33" s="351"/>
    </row>
    <row r="34" spans="1:18" ht="16" x14ac:dyDescent="0.35">
      <c r="A34" s="62">
        <v>15</v>
      </c>
      <c r="B34" s="63" t="s">
        <v>74</v>
      </c>
      <c r="C34" s="56"/>
      <c r="D34" s="134" t="s">
        <v>219</v>
      </c>
      <c r="E34" s="103" t="str">
        <f>IFERROR(VLOOKUP(B34,'Categories List'!B$2:C$36,2,FALSE),"")</f>
        <v>Priority 1</v>
      </c>
      <c r="F34" s="17"/>
      <c r="H34" s="16"/>
      <c r="I34" s="71">
        <f>INDEX('Applications List'!$X$4:$X$181, MATCH(B34, 'Applications List'!$B$4:$B$181, 0))</f>
        <v>0</v>
      </c>
      <c r="J34" s="102">
        <f t="shared" si="3"/>
        <v>0</v>
      </c>
      <c r="K34" s="102">
        <f t="shared" si="4"/>
        <v>0</v>
      </c>
      <c r="L34" s="120">
        <f t="shared" si="5"/>
        <v>0</v>
      </c>
      <c r="P34" s="358" t="s">
        <v>255</v>
      </c>
      <c r="R34" s="351"/>
    </row>
    <row r="35" spans="1:18" x14ac:dyDescent="0.35">
      <c r="A35">
        <v>15.1</v>
      </c>
      <c r="B35" s="8" t="s">
        <v>321</v>
      </c>
      <c r="C35" t="s">
        <v>322</v>
      </c>
      <c r="D35" s="130" t="s">
        <v>219</v>
      </c>
      <c r="E35" s="102" t="str">
        <f>IFERROR(VLOOKUP(B35,'Categories List'!B$2:C$36,2,FALSE),"")</f>
        <v/>
      </c>
      <c r="F35" s="88" t="str">
        <f>INDEX('Applications List'!$P$4:$P$181, MATCH(B35, 'Applications List'!$B$4:$B$181, 0))</f>
        <v>No</v>
      </c>
      <c r="G35" s="91"/>
      <c r="H35" s="99" t="str">
        <f>INDEX('Applications List'!$R$5:$R$181, MATCH(B35, 'Applications List'!$B$5:$B$181, 0))</f>
        <v>No</v>
      </c>
      <c r="I35" s="71">
        <f>INDEX('Applications List'!$X$4:$X$181, MATCH(B35, 'Applications List'!$B$4:$B$181, 0))</f>
        <v>0</v>
      </c>
      <c r="J35" s="102">
        <f t="shared" si="3"/>
        <v>0</v>
      </c>
      <c r="K35" s="102">
        <f t="shared" si="4"/>
        <v>0</v>
      </c>
      <c r="L35" s="120">
        <f t="shared" si="5"/>
        <v>0</v>
      </c>
      <c r="R35" s="351"/>
    </row>
    <row r="36" spans="1:18" x14ac:dyDescent="0.35">
      <c r="A36">
        <v>15.2</v>
      </c>
      <c r="B36" s="8" t="s">
        <v>324</v>
      </c>
      <c r="C36" t="s">
        <v>325</v>
      </c>
      <c r="D36" s="130" t="s">
        <v>219</v>
      </c>
      <c r="E36" s="102" t="str">
        <f>IFERROR(VLOOKUP(B36,'Categories List'!B$2:C$36,2,FALSE),"")</f>
        <v/>
      </c>
      <c r="F36" s="26" t="str">
        <f>INDEX('Applications List'!$P$4:$P$181, MATCH(B36, 'Applications List'!$B$4:$B$181, 0))</f>
        <v>Maybe</v>
      </c>
      <c r="H36" s="16" t="str">
        <f>INDEX('Applications List'!$R$5:$R$181, MATCH(B36, 'Applications List'!$B$5:$B$181, 0))</f>
        <v>No</v>
      </c>
      <c r="I36" s="71">
        <f>INDEX('Applications List'!$X$4:$X$181, MATCH(B36, 'Applications List'!$B$4:$B$181, 0))</f>
        <v>0.125</v>
      </c>
      <c r="J36" s="102">
        <f t="shared" si="3"/>
        <v>0</v>
      </c>
      <c r="K36" s="102">
        <f t="shared" si="4"/>
        <v>0</v>
      </c>
      <c r="L36" s="120">
        <f t="shared" si="5"/>
        <v>0</v>
      </c>
      <c r="P36" s="1" t="s">
        <v>55</v>
      </c>
      <c r="R36" s="351"/>
    </row>
    <row r="37" spans="1:18" x14ac:dyDescent="0.35">
      <c r="A37">
        <v>15.3</v>
      </c>
      <c r="B37" s="118" t="s">
        <v>326</v>
      </c>
      <c r="C37" t="s">
        <v>327</v>
      </c>
      <c r="D37" s="130" t="s">
        <v>219</v>
      </c>
      <c r="E37" s="102" t="str">
        <f>IFERROR(VLOOKUP(B37,'Categories List'!B$2:C$36,2,FALSE),"")</f>
        <v/>
      </c>
      <c r="F37" s="26" t="str">
        <f>INDEX('Applications List'!$P$4:$P$181, MATCH(B37, 'Applications List'!$B$4:$B$181, 0))</f>
        <v>Yes</v>
      </c>
      <c r="H37" s="16" t="str">
        <f>INDEX('Applications List'!$R$5:$R$181, MATCH(B37, 'Applications List'!$B$5:$B$181, 0))</f>
        <v>Yes</v>
      </c>
      <c r="I37" s="71">
        <f>INDEX('Applications List'!$X$4:$X$181, MATCH(B37, 'Applications List'!$B$4:$B$181, 0))</f>
        <v>0.75</v>
      </c>
      <c r="J37" s="102">
        <f t="shared" si="3"/>
        <v>0</v>
      </c>
      <c r="K37" s="102">
        <f t="shared" si="4"/>
        <v>0</v>
      </c>
      <c r="L37" s="120">
        <f t="shared" si="5"/>
        <v>1</v>
      </c>
      <c r="P37" s="358" t="s">
        <v>140</v>
      </c>
      <c r="R37" s="351"/>
    </row>
    <row r="38" spans="1:18" x14ac:dyDescent="0.35">
      <c r="A38">
        <v>15.4</v>
      </c>
      <c r="B38" s="118" t="s">
        <v>329</v>
      </c>
      <c r="C38" t="s">
        <v>330</v>
      </c>
      <c r="D38" s="130" t="s">
        <v>219</v>
      </c>
      <c r="E38" s="102" t="str">
        <f>IFERROR(VLOOKUP(B38,'Categories List'!B$2:C$36,2,FALSE),"")</f>
        <v/>
      </c>
      <c r="F38" s="26" t="str">
        <f>INDEX('Applications List'!$P$4:$P$181, MATCH(B38, 'Applications List'!$B$4:$B$181, 0))</f>
        <v>Yes</v>
      </c>
      <c r="H38" s="16" t="str">
        <f>INDEX('Applications List'!$R$5:$R$181, MATCH(B38, 'Applications List'!$B$5:$B$181, 0))</f>
        <v>Yes</v>
      </c>
      <c r="I38" s="71">
        <f>INDEX('Applications List'!$X$4:$X$181, MATCH(B38, 'Applications List'!$B$4:$B$181, 0))</f>
        <v>0.75</v>
      </c>
      <c r="J38" s="102">
        <f t="shared" si="3"/>
        <v>0</v>
      </c>
      <c r="K38" s="102">
        <f t="shared" si="4"/>
        <v>0</v>
      </c>
      <c r="L38" s="120">
        <f t="shared" si="5"/>
        <v>1</v>
      </c>
      <c r="P38" s="358" t="s">
        <v>447</v>
      </c>
    </row>
    <row r="39" spans="1:18" x14ac:dyDescent="0.35">
      <c r="A39">
        <v>15.5</v>
      </c>
      <c r="B39" s="8" t="s">
        <v>332</v>
      </c>
      <c r="C39" t="s">
        <v>333</v>
      </c>
      <c r="D39" s="130" t="s">
        <v>219</v>
      </c>
      <c r="E39" s="102" t="str">
        <f>IFERROR(VLOOKUP(B39,'Categories List'!B$2:C$36,2,FALSE),"")</f>
        <v/>
      </c>
      <c r="F39" s="27" t="str">
        <f>INDEX('Applications List'!$P$4:$P$181, MATCH(B39, 'Applications List'!$B$4:$B$181, 0))</f>
        <v>No</v>
      </c>
      <c r="G39" s="19"/>
      <c r="H39" s="18" t="str">
        <f>INDEX('Applications List'!$R$5:$R$181, MATCH(B39, 'Applications List'!$B$5:$B$181, 0))</f>
        <v>No</v>
      </c>
      <c r="I39" s="71">
        <f>INDEX('Applications List'!$X$4:$X$181, MATCH(B39, 'Applications List'!$B$4:$B$181, 0))</f>
        <v>0</v>
      </c>
      <c r="J39" s="102">
        <f t="shared" si="3"/>
        <v>0</v>
      </c>
      <c r="K39" s="102">
        <f t="shared" si="4"/>
        <v>0</v>
      </c>
      <c r="L39" s="120">
        <f t="shared" si="5"/>
        <v>0</v>
      </c>
      <c r="P39" s="358" t="s">
        <v>398</v>
      </c>
      <c r="R39" s="351"/>
    </row>
    <row r="40" spans="1:18" ht="16" x14ac:dyDescent="0.35">
      <c r="A40" s="62">
        <v>23</v>
      </c>
      <c r="B40" s="63" t="s">
        <v>82</v>
      </c>
      <c r="C40" s="56"/>
      <c r="D40" s="134" t="s">
        <v>191</v>
      </c>
      <c r="E40" s="103" t="str">
        <f>IFERROR(VLOOKUP(B40,'Categories List'!B$2:C$36,2,FALSE),"")</f>
        <v>Priority 1</v>
      </c>
      <c r="F40" s="17"/>
      <c r="H40" s="16"/>
      <c r="I40" s="71">
        <f>INDEX('Applications List'!$X$4:$X$181, MATCH(B40, 'Applications List'!$B$4:$B$181, 0))</f>
        <v>0</v>
      </c>
      <c r="J40" s="102">
        <f t="shared" si="3"/>
        <v>0</v>
      </c>
      <c r="K40" s="102">
        <f t="shared" si="4"/>
        <v>0</v>
      </c>
      <c r="L40" s="120">
        <f t="shared" si="5"/>
        <v>0</v>
      </c>
      <c r="P40" s="358" t="s">
        <v>148</v>
      </c>
    </row>
    <row r="41" spans="1:18" x14ac:dyDescent="0.35">
      <c r="A41">
        <v>23.1</v>
      </c>
      <c r="B41" s="118" t="s">
        <v>393</v>
      </c>
      <c r="C41" t="s">
        <v>394</v>
      </c>
      <c r="D41" s="130" t="s">
        <v>191</v>
      </c>
      <c r="E41" s="102" t="str">
        <f>IFERROR(VLOOKUP(B41,'Categories List'!B$2:C$36,2,FALSE),"")</f>
        <v/>
      </c>
      <c r="F41" s="88" t="str">
        <f>INDEX('Applications List'!$P$4:$P$181, MATCH(B41, 'Applications List'!$B$4:$B$181, 0))</f>
        <v>Yes</v>
      </c>
      <c r="G41" s="91"/>
      <c r="H41" s="99" t="str">
        <f>INDEX('Applications List'!$R$5:$R$181, MATCH(B41, 'Applications List'!$B$5:$B$181, 0))</f>
        <v>Yes</v>
      </c>
      <c r="I41" s="71">
        <f>INDEX('Applications List'!$X$4:$X$181, MATCH(B41, 'Applications List'!$B$4:$B$181, 0))</f>
        <v>0.75</v>
      </c>
      <c r="J41" s="102">
        <f t="shared" si="3"/>
        <v>0</v>
      </c>
      <c r="K41" s="102">
        <f t="shared" si="4"/>
        <v>0</v>
      </c>
      <c r="L41" s="120">
        <f t="shared" si="5"/>
        <v>1</v>
      </c>
      <c r="P41" s="358" t="s">
        <v>154</v>
      </c>
    </row>
    <row r="42" spans="1:18" x14ac:dyDescent="0.35">
      <c r="A42">
        <v>23.2</v>
      </c>
      <c r="B42" s="8" t="s">
        <v>396</v>
      </c>
      <c r="C42" t="s">
        <v>397</v>
      </c>
      <c r="D42" s="130" t="s">
        <v>191</v>
      </c>
      <c r="E42" s="102" t="str">
        <f>IFERROR(VLOOKUP(B42,'Categories List'!B$2:C$36,2,FALSE),"")</f>
        <v/>
      </c>
      <c r="F42" s="26" t="str">
        <f>INDEX('Applications List'!$P$4:$P$181, MATCH(B42, 'Applications List'!$B$4:$B$181, 0))</f>
        <v>Yes</v>
      </c>
      <c r="H42" s="16" t="str">
        <f>INDEX('Applications List'!$R$5:$R$181, MATCH(B42, 'Applications List'!$B$5:$B$181, 0))</f>
        <v>Yes</v>
      </c>
      <c r="I42" s="71">
        <f>INDEX('Applications List'!$X$4:$X$181, MATCH(B42, 'Applications List'!$B$4:$B$181, 0))</f>
        <v>0.375</v>
      </c>
      <c r="J42" s="102">
        <f t="shared" si="3"/>
        <v>0</v>
      </c>
      <c r="K42" s="102">
        <f t="shared" si="4"/>
        <v>0</v>
      </c>
      <c r="L42" s="120">
        <f t="shared" si="5"/>
        <v>0</v>
      </c>
      <c r="P42" s="358" t="s">
        <v>417</v>
      </c>
    </row>
    <row r="43" spans="1:18" x14ac:dyDescent="0.35">
      <c r="A43">
        <v>23.3</v>
      </c>
      <c r="B43" s="8" t="s">
        <v>398</v>
      </c>
      <c r="C43" t="s">
        <v>399</v>
      </c>
      <c r="D43" s="130" t="s">
        <v>191</v>
      </c>
      <c r="E43" s="102" t="str">
        <f>IFERROR(VLOOKUP(B43,'Categories List'!B$2:C$36,2,FALSE),"")</f>
        <v/>
      </c>
      <c r="F43" s="26" t="str">
        <f>INDEX('Applications List'!$P$4:$P$181, MATCH(B43, 'Applications List'!$B$4:$B$181, 0))</f>
        <v>Yes</v>
      </c>
      <c r="H43" s="16" t="str">
        <f>INDEX('Applications List'!$R$5:$R$181, MATCH(B43, 'Applications List'!$B$5:$B$181, 0))</f>
        <v>Yes</v>
      </c>
      <c r="I43" s="71">
        <f>INDEX('Applications List'!$X$4:$X$181, MATCH(B43, 'Applications List'!$B$4:$B$181, 0))</f>
        <v>0.5</v>
      </c>
      <c r="J43" s="102">
        <f t="shared" si="3"/>
        <v>1</v>
      </c>
      <c r="K43" s="102">
        <f t="shared" si="4"/>
        <v>0</v>
      </c>
      <c r="L43" s="120">
        <f t="shared" si="5"/>
        <v>0</v>
      </c>
      <c r="P43" s="358" t="s">
        <v>188</v>
      </c>
    </row>
    <row r="44" spans="1:18" x14ac:dyDescent="0.35">
      <c r="A44">
        <v>23.4</v>
      </c>
      <c r="B44" s="8" t="s">
        <v>401</v>
      </c>
      <c r="C44" t="s">
        <v>402</v>
      </c>
      <c r="D44" s="130" t="s">
        <v>191</v>
      </c>
      <c r="E44" s="102" t="str">
        <f>IFERROR(VLOOKUP(B44,'Categories List'!B$2:C$36,2,FALSE),"")</f>
        <v/>
      </c>
      <c r="F44" s="27" t="str">
        <f>INDEX('Applications List'!$P$4:$P$181, MATCH(B44, 'Applications List'!$B$4:$B$181, 0))</f>
        <v>Maybe</v>
      </c>
      <c r="G44" s="19"/>
      <c r="H44" s="18" t="str">
        <f>INDEX('Applications List'!$R$5:$R$181, MATCH(B44, 'Applications List'!$B$5:$B$181, 0))</f>
        <v>Maybe</v>
      </c>
      <c r="I44" s="71">
        <f>INDEX('Applications List'!$X$4:$X$181, MATCH(B44, 'Applications List'!$B$4:$B$181, 0))</f>
        <v>0.25</v>
      </c>
      <c r="J44" s="102">
        <f t="shared" si="3"/>
        <v>0</v>
      </c>
      <c r="K44" s="102">
        <f t="shared" si="4"/>
        <v>0</v>
      </c>
      <c r="L44" s="120">
        <f t="shared" si="5"/>
        <v>0</v>
      </c>
      <c r="P44" s="359" t="s">
        <v>225</v>
      </c>
    </row>
    <row r="45" spans="1:18" ht="16" x14ac:dyDescent="0.35">
      <c r="A45" s="62">
        <v>2</v>
      </c>
      <c r="B45" s="63" t="s">
        <v>51</v>
      </c>
      <c r="C45" s="56"/>
      <c r="D45" s="134" t="s">
        <v>112</v>
      </c>
      <c r="E45" s="104" t="str">
        <f>IFERROR(VLOOKUP(B45,'Categories List'!B$2:C$36,2,FALSE),"")</f>
        <v>Priority 2</v>
      </c>
      <c r="F45" s="17"/>
      <c r="H45" s="16"/>
      <c r="I45" s="71">
        <f>INDEX('Applications List'!$X$4:$X$181, MATCH(B45, 'Applications List'!$B$4:$B$181, 0))</f>
        <v>0</v>
      </c>
      <c r="J45" s="102">
        <f t="shared" si="1"/>
        <v>0</v>
      </c>
      <c r="K45" s="102">
        <f t="shared" si="2"/>
        <v>0</v>
      </c>
      <c r="L45" s="120">
        <f t="shared" si="0"/>
        <v>0</v>
      </c>
    </row>
    <row r="46" spans="1:18" x14ac:dyDescent="0.35">
      <c r="A46">
        <v>2.1</v>
      </c>
      <c r="B46" s="8" t="s">
        <v>145</v>
      </c>
      <c r="C46" t="s">
        <v>146</v>
      </c>
      <c r="D46" s="130" t="s">
        <v>112</v>
      </c>
      <c r="E46" s="102" t="str">
        <f>IFERROR(VLOOKUP(B46,'Categories List'!B$2:C$36,2,FALSE),"")</f>
        <v/>
      </c>
      <c r="F46" s="88" t="str">
        <f>INDEX('Applications List'!$P$4:$P$181, MATCH(B46, 'Applications List'!$B$4:$B$181, 0))</f>
        <v>Maybe</v>
      </c>
      <c r="G46" s="91"/>
      <c r="H46" s="99" t="str">
        <f>INDEX('Applications List'!$R$5:$R$181, MATCH(B46, 'Applications List'!$B$5:$B$181, 0))</f>
        <v>Maybe</v>
      </c>
      <c r="I46" s="71">
        <f>INDEX('Applications List'!$X$4:$X$181, MATCH(B46, 'Applications List'!$B$4:$B$181, 0))</f>
        <v>0.375</v>
      </c>
      <c r="J46" s="102">
        <f t="shared" si="1"/>
        <v>0</v>
      </c>
      <c r="K46" s="102">
        <f t="shared" si="2"/>
        <v>0</v>
      </c>
      <c r="L46" s="120">
        <f t="shared" si="0"/>
        <v>0</v>
      </c>
    </row>
    <row r="47" spans="1:18" x14ac:dyDescent="0.35">
      <c r="A47">
        <v>2.2000000000000002</v>
      </c>
      <c r="B47" s="8" t="s">
        <v>148</v>
      </c>
      <c r="C47" t="s">
        <v>149</v>
      </c>
      <c r="D47" s="130" t="s">
        <v>112</v>
      </c>
      <c r="E47" s="102" t="str">
        <f>IFERROR(VLOOKUP(B47,'Categories List'!B$2:C$36,2,FALSE),"")</f>
        <v/>
      </c>
      <c r="F47" s="26" t="str">
        <f>INDEX('Applications List'!$P$4:$P$181, MATCH(B47, 'Applications List'!$B$4:$B$181, 0))</f>
        <v>Yes</v>
      </c>
      <c r="H47" s="16" t="str">
        <f>INDEX('Applications List'!$R$5:$R$181, MATCH(B47, 'Applications List'!$B$5:$B$181, 0))</f>
        <v>Yes</v>
      </c>
      <c r="I47" s="71">
        <f>INDEX('Applications List'!$X$4:$X$181, MATCH(B47, 'Applications List'!$B$4:$B$181, 0))</f>
        <v>0.5</v>
      </c>
      <c r="J47" s="102">
        <f t="shared" si="1"/>
        <v>1</v>
      </c>
      <c r="K47" s="102">
        <f t="shared" si="2"/>
        <v>0</v>
      </c>
      <c r="L47" s="120">
        <f t="shared" si="0"/>
        <v>0</v>
      </c>
    </row>
    <row r="48" spans="1:18" x14ac:dyDescent="0.35">
      <c r="A48">
        <v>2.2999999999999998</v>
      </c>
      <c r="B48" s="8" t="s">
        <v>151</v>
      </c>
      <c r="C48" t="s">
        <v>152</v>
      </c>
      <c r="D48" s="130" t="s">
        <v>112</v>
      </c>
      <c r="E48" s="102" t="str">
        <f>IFERROR(VLOOKUP(B48,'Categories List'!B$2:C$36,2,FALSE),"")</f>
        <v/>
      </c>
      <c r="F48" s="26" t="str">
        <f>INDEX('Applications List'!$P$4:$P$181, MATCH(B48, 'Applications List'!$B$4:$B$181, 0))</f>
        <v>Yes</v>
      </c>
      <c r="H48" s="16" t="str">
        <f>INDEX('Applications List'!$R$5:$R$181, MATCH(B48, 'Applications List'!$B$5:$B$181, 0))</f>
        <v>Yes</v>
      </c>
      <c r="I48" s="71">
        <f>INDEX('Applications List'!$X$4:$X$181, MATCH(B48, 'Applications List'!$B$4:$B$181, 0))</f>
        <v>0.625</v>
      </c>
      <c r="J48" s="102">
        <f t="shared" si="1"/>
        <v>0</v>
      </c>
      <c r="K48" s="102">
        <f t="shared" si="2"/>
        <v>1</v>
      </c>
      <c r="L48" s="120">
        <f t="shared" si="0"/>
        <v>0</v>
      </c>
    </row>
    <row r="49" spans="1:12" x14ac:dyDescent="0.35">
      <c r="A49">
        <v>2.4</v>
      </c>
      <c r="B49" s="8" t="s">
        <v>154</v>
      </c>
      <c r="C49" t="s">
        <v>155</v>
      </c>
      <c r="D49" s="130" t="s">
        <v>112</v>
      </c>
      <c r="E49" s="102" t="str">
        <f>IFERROR(VLOOKUP(B49,'Categories List'!B$2:C$36,2,FALSE),"")</f>
        <v/>
      </c>
      <c r="F49" s="26" t="str">
        <f>INDEX('Applications List'!$P$4:$P$181, MATCH(B49, 'Applications List'!$B$4:$B$181, 0))</f>
        <v>Yes</v>
      </c>
      <c r="H49" s="16" t="str">
        <f>INDEX('Applications List'!$R$5:$R$181, MATCH(B49, 'Applications List'!$B$5:$B$181, 0))</f>
        <v>Yes</v>
      </c>
      <c r="I49" s="71">
        <f>INDEX('Applications List'!$X$4:$X$181, MATCH(B49, 'Applications List'!$B$4:$B$181, 0))</f>
        <v>0.5</v>
      </c>
      <c r="J49" s="102">
        <f t="shared" si="1"/>
        <v>1</v>
      </c>
      <c r="K49" s="102">
        <f t="shared" si="2"/>
        <v>0</v>
      </c>
      <c r="L49" s="120">
        <f t="shared" si="0"/>
        <v>0</v>
      </c>
    </row>
    <row r="50" spans="1:12" x14ac:dyDescent="0.35">
      <c r="A50">
        <v>2.5</v>
      </c>
      <c r="B50" s="8" t="s">
        <v>157</v>
      </c>
      <c r="C50" t="s">
        <v>158</v>
      </c>
      <c r="D50" s="130" t="s">
        <v>112</v>
      </c>
      <c r="E50" s="102" t="str">
        <f>IFERROR(VLOOKUP(B50,'Categories List'!B$2:C$36,2,FALSE),"")</f>
        <v/>
      </c>
      <c r="F50" s="26" t="str">
        <f>INDEX('Applications List'!$P$4:$P$181, MATCH(B50, 'Applications List'!$B$4:$B$181, 0))</f>
        <v>Maybe</v>
      </c>
      <c r="H50" s="16" t="str">
        <f>INDEX('Applications List'!$R$5:$R$181, MATCH(B50, 'Applications List'!$B$5:$B$181, 0))</f>
        <v>Maybe</v>
      </c>
      <c r="I50" s="71">
        <f>INDEX('Applications List'!$X$4:$X$181, MATCH(B50, 'Applications List'!$B$4:$B$181, 0))</f>
        <v>0.375</v>
      </c>
      <c r="J50" s="102">
        <f t="shared" si="1"/>
        <v>0</v>
      </c>
      <c r="K50" s="102">
        <f t="shared" si="2"/>
        <v>0</v>
      </c>
      <c r="L50" s="120">
        <f t="shared" si="0"/>
        <v>0</v>
      </c>
    </row>
    <row r="51" spans="1:12" x14ac:dyDescent="0.35">
      <c r="A51">
        <v>2.6</v>
      </c>
      <c r="B51" s="8" t="s">
        <v>160</v>
      </c>
      <c r="C51" t="s">
        <v>161</v>
      </c>
      <c r="D51" s="130" t="s">
        <v>112</v>
      </c>
      <c r="E51" s="102" t="str">
        <f>IFERROR(VLOOKUP(B51,'Categories List'!B$2:C$36,2,FALSE),"")</f>
        <v/>
      </c>
      <c r="F51" s="26" t="str">
        <f>INDEX('Applications List'!$P$4:$P$181, MATCH(B51, 'Applications List'!$B$4:$B$181, 0))</f>
        <v>Yes</v>
      </c>
      <c r="H51" s="16" t="str">
        <f>INDEX('Applications List'!$R$5:$R$181, MATCH(B51, 'Applications List'!$B$5:$B$181, 0))</f>
        <v>Yes</v>
      </c>
      <c r="I51" s="71">
        <f>INDEX('Applications List'!$X$4:$X$181, MATCH(B51, 'Applications List'!$B$4:$B$181, 0))</f>
        <v>0.625</v>
      </c>
      <c r="J51" s="102">
        <f t="shared" si="1"/>
        <v>0</v>
      </c>
      <c r="K51" s="102">
        <f t="shared" si="2"/>
        <v>1</v>
      </c>
      <c r="L51" s="120">
        <f t="shared" si="0"/>
        <v>0</v>
      </c>
    </row>
    <row r="52" spans="1:12" x14ac:dyDescent="0.35">
      <c r="A52">
        <v>2.7</v>
      </c>
      <c r="B52" s="8" t="s">
        <v>163</v>
      </c>
      <c r="C52" t="s">
        <v>164</v>
      </c>
      <c r="D52" s="130" t="s">
        <v>112</v>
      </c>
      <c r="E52" s="102" t="str">
        <f>IFERROR(VLOOKUP(B52,'Categories List'!B$2:C$36,2,FALSE),"")</f>
        <v/>
      </c>
      <c r="F52" s="27" t="str">
        <f>INDEX('Applications List'!$P$4:$P$181, MATCH(B52, 'Applications List'!$B$4:$B$181, 0))</f>
        <v>Yes</v>
      </c>
      <c r="G52" s="19"/>
      <c r="H52" s="18" t="str">
        <f>INDEX('Applications List'!$R$5:$R$181, MATCH(B52, 'Applications List'!$B$5:$B$181, 0))</f>
        <v>Yes</v>
      </c>
      <c r="I52" s="71">
        <f>INDEX('Applications List'!$X$4:$X$181, MATCH(B52, 'Applications List'!$B$4:$B$181, 0))</f>
        <v>0.625</v>
      </c>
      <c r="J52" s="102">
        <f t="shared" si="1"/>
        <v>0</v>
      </c>
      <c r="K52" s="102">
        <f t="shared" si="2"/>
        <v>1</v>
      </c>
      <c r="L52" s="120">
        <f t="shared" si="0"/>
        <v>0</v>
      </c>
    </row>
    <row r="53" spans="1:12" ht="16" x14ac:dyDescent="0.35">
      <c r="A53" s="62">
        <v>25</v>
      </c>
      <c r="B53" s="63" t="s">
        <v>84</v>
      </c>
      <c r="C53" s="56"/>
      <c r="D53" s="134" t="s">
        <v>359</v>
      </c>
      <c r="E53" s="104" t="str">
        <f>IFERROR(VLOOKUP(B53,'Categories List'!B$2:C$36,2,FALSE),"")</f>
        <v>Priority 2</v>
      </c>
      <c r="F53" s="17"/>
      <c r="H53" s="16"/>
      <c r="I53" s="71">
        <f>INDEX('Applications List'!$X$4:$X$181, MATCH(B53, 'Applications List'!$B$4:$B$181, 0))</f>
        <v>0</v>
      </c>
      <c r="J53" s="102">
        <f t="shared" ref="J53:J65" si="6">+IF(AND(I53&gt;0.49,I53&lt;0.59),1,0)</f>
        <v>0</v>
      </c>
      <c r="K53" s="102">
        <f t="shared" ref="K53:K65" si="7">+IF(AND(I53&gt;0.6,I53&lt;0.74),1,0)</f>
        <v>0</v>
      </c>
      <c r="L53" s="120">
        <f t="shared" ref="L53:L65" si="8">+IF(I53&gt;0.74,1,0)</f>
        <v>0</v>
      </c>
    </row>
    <row r="54" spans="1:12" x14ac:dyDescent="0.35">
      <c r="A54">
        <v>25.1</v>
      </c>
      <c r="B54" s="8" t="s">
        <v>409</v>
      </c>
      <c r="C54" t="s">
        <v>410</v>
      </c>
      <c r="D54" s="130" t="s">
        <v>359</v>
      </c>
      <c r="E54" s="102" t="str">
        <f>IFERROR(VLOOKUP(B54,'Categories List'!B$2:C$36,2,FALSE),"")</f>
        <v/>
      </c>
      <c r="F54" s="88" t="str">
        <f>INDEX('Applications List'!$P$4:$P$181, MATCH(B54, 'Applications List'!$B$4:$B$181, 0))</f>
        <v>Yes</v>
      </c>
      <c r="G54" s="91"/>
      <c r="H54" s="99" t="str">
        <f>INDEX('Applications List'!$R$5:$R$181, MATCH(B54, 'Applications List'!$B$5:$B$181, 0))</f>
        <v>Yes</v>
      </c>
      <c r="I54" s="71">
        <f>INDEX('Applications List'!$X$4:$X$181, MATCH(B54, 'Applications List'!$B$4:$B$181, 0))</f>
        <v>0.375</v>
      </c>
      <c r="J54" s="102">
        <f t="shared" si="6"/>
        <v>0</v>
      </c>
      <c r="K54" s="102">
        <f t="shared" si="7"/>
        <v>0</v>
      </c>
      <c r="L54" s="120">
        <f t="shared" si="8"/>
        <v>0</v>
      </c>
    </row>
    <row r="55" spans="1:12" x14ac:dyDescent="0.35">
      <c r="A55">
        <v>25.2</v>
      </c>
      <c r="B55" s="8" t="s">
        <v>412</v>
      </c>
      <c r="C55" t="s">
        <v>413</v>
      </c>
      <c r="D55" s="130" t="s">
        <v>359</v>
      </c>
      <c r="E55" s="102" t="str">
        <f>IFERROR(VLOOKUP(B55,'Categories List'!B$2:C$36,2,FALSE),"")</f>
        <v/>
      </c>
      <c r="F55" s="26" t="str">
        <f>INDEX('Applications List'!$P$4:$P$181, MATCH(B55, 'Applications List'!$B$4:$B$181, 0))</f>
        <v>Yes</v>
      </c>
      <c r="H55" s="16" t="str">
        <f>INDEX('Applications List'!$R$5:$R$181, MATCH(B55, 'Applications List'!$B$5:$B$181, 0))</f>
        <v>Yes</v>
      </c>
      <c r="I55" s="71">
        <f>INDEX('Applications List'!$X$4:$X$181, MATCH(B55, 'Applications List'!$B$4:$B$181, 0))</f>
        <v>0.25</v>
      </c>
      <c r="J55" s="102">
        <f t="shared" si="6"/>
        <v>0</v>
      </c>
      <c r="K55" s="102">
        <f t="shared" si="7"/>
        <v>0</v>
      </c>
      <c r="L55" s="120">
        <f t="shared" si="8"/>
        <v>0</v>
      </c>
    </row>
    <row r="56" spans="1:12" x14ac:dyDescent="0.35">
      <c r="A56">
        <v>25.3</v>
      </c>
      <c r="B56" s="8" t="s">
        <v>414</v>
      </c>
      <c r="C56" t="s">
        <v>415</v>
      </c>
      <c r="D56" s="130" t="s">
        <v>359</v>
      </c>
      <c r="E56" s="102" t="str">
        <f>IFERROR(VLOOKUP(B56,'Categories List'!B$2:C$36,2,FALSE),"")</f>
        <v/>
      </c>
      <c r="F56" s="26" t="str">
        <f>INDEX('Applications List'!$P$4:$P$181, MATCH(B56, 'Applications List'!$B$4:$B$181, 0))</f>
        <v>Yes</v>
      </c>
      <c r="H56" s="16" t="str">
        <f>INDEX('Applications List'!$R$5:$R$181, MATCH(B56, 'Applications List'!$B$5:$B$181, 0))</f>
        <v>Yes</v>
      </c>
      <c r="I56" s="71">
        <f>INDEX('Applications List'!$X$4:$X$181, MATCH(B56, 'Applications List'!$B$4:$B$181, 0))</f>
        <v>0.375</v>
      </c>
      <c r="J56" s="102">
        <f t="shared" si="6"/>
        <v>0</v>
      </c>
      <c r="K56" s="102">
        <f t="shared" si="7"/>
        <v>0</v>
      </c>
      <c r="L56" s="120">
        <f t="shared" si="8"/>
        <v>0</v>
      </c>
    </row>
    <row r="57" spans="1:12" x14ac:dyDescent="0.35">
      <c r="A57">
        <v>25.4</v>
      </c>
      <c r="B57" s="8" t="s">
        <v>417</v>
      </c>
      <c r="C57" t="s">
        <v>418</v>
      </c>
      <c r="D57" s="130" t="s">
        <v>359</v>
      </c>
      <c r="E57" s="102" t="str">
        <f>IFERROR(VLOOKUP(B57,'Categories List'!B$2:C$36,2,FALSE),"")</f>
        <v/>
      </c>
      <c r="F57" s="27" t="str">
        <f>INDEX('Applications List'!$P$4:$P$181, MATCH(B57, 'Applications List'!$B$4:$B$181, 0))</f>
        <v>Yes</v>
      </c>
      <c r="G57" s="19"/>
      <c r="H57" s="18" t="str">
        <f>INDEX('Applications List'!$R$5:$R$181, MATCH(B57, 'Applications List'!$B$5:$B$181, 0))</f>
        <v>Yes</v>
      </c>
      <c r="I57" s="71">
        <f>INDEX('Applications List'!$X$4:$X$181, MATCH(B57, 'Applications List'!$B$4:$B$181, 0))</f>
        <v>0.5</v>
      </c>
      <c r="J57" s="102">
        <f t="shared" si="6"/>
        <v>1</v>
      </c>
      <c r="K57" s="102">
        <f t="shared" si="7"/>
        <v>0</v>
      </c>
      <c r="L57" s="120">
        <f t="shared" si="8"/>
        <v>0</v>
      </c>
    </row>
    <row r="58" spans="1:12" ht="16" x14ac:dyDescent="0.35">
      <c r="A58" s="62">
        <v>3</v>
      </c>
      <c r="B58" s="63" t="s">
        <v>54</v>
      </c>
      <c r="C58" s="56"/>
      <c r="D58" s="134" t="s">
        <v>112</v>
      </c>
      <c r="E58" s="105" t="str">
        <f>IFERROR(VLOOKUP(B58,'Categories List'!B$2:C$36,2,FALSE),"")</f>
        <v>Priority 3</v>
      </c>
      <c r="F58" s="17"/>
      <c r="H58" s="16"/>
      <c r="I58" s="71">
        <f>INDEX('Applications List'!$X$4:$X$181, MATCH(B58, 'Applications List'!$B$4:$B$181, 0))</f>
        <v>0</v>
      </c>
      <c r="J58" s="102">
        <f t="shared" si="6"/>
        <v>0</v>
      </c>
      <c r="K58" s="102">
        <f t="shared" si="7"/>
        <v>0</v>
      </c>
      <c r="L58" s="120">
        <f t="shared" si="8"/>
        <v>0</v>
      </c>
    </row>
    <row r="59" spans="1:12" x14ac:dyDescent="0.35">
      <c r="A59">
        <v>3.1</v>
      </c>
      <c r="B59" s="8" t="s">
        <v>166</v>
      </c>
      <c r="C59" t="s">
        <v>167</v>
      </c>
      <c r="D59" s="130" t="s">
        <v>112</v>
      </c>
      <c r="E59" s="102" t="str">
        <f>IFERROR(VLOOKUP(B59,'Categories List'!B$2:C$36,2,FALSE),"")</f>
        <v/>
      </c>
      <c r="F59" s="88" t="str">
        <f>INDEX('Applications List'!$P$4:$P$181, MATCH(B59, 'Applications List'!$B$4:$B$181, 0))</f>
        <v>Yes</v>
      </c>
      <c r="G59" s="91"/>
      <c r="H59" s="99" t="str">
        <f>INDEX('Applications List'!$R$5:$R$181, MATCH(B59, 'Applications List'!$B$5:$B$181, 0))</f>
        <v>Yes</v>
      </c>
      <c r="I59" s="71">
        <f>INDEX('Applications List'!$X$4:$X$181, MATCH(B59, 'Applications List'!$B$4:$B$181, 0))</f>
        <v>0.25</v>
      </c>
      <c r="J59" s="102">
        <f t="shared" si="6"/>
        <v>0</v>
      </c>
      <c r="K59" s="102">
        <f t="shared" si="7"/>
        <v>0</v>
      </c>
      <c r="L59" s="120">
        <f t="shared" si="8"/>
        <v>0</v>
      </c>
    </row>
    <row r="60" spans="1:12" x14ac:dyDescent="0.35">
      <c r="A60">
        <v>3.2</v>
      </c>
      <c r="B60" s="8" t="s">
        <v>168</v>
      </c>
      <c r="C60" t="s">
        <v>169</v>
      </c>
      <c r="D60" s="130" t="s">
        <v>112</v>
      </c>
      <c r="E60" s="102" t="str">
        <f>IFERROR(VLOOKUP(B60,'Categories List'!B$2:C$36,2,FALSE),"")</f>
        <v/>
      </c>
      <c r="F60" s="26" t="str">
        <f>INDEX('Applications List'!$P$4:$P$181, MATCH(B60, 'Applications List'!$B$4:$B$181, 0))</f>
        <v>Maybe</v>
      </c>
      <c r="H60" s="16" t="str">
        <f>INDEX('Applications List'!$R$5:$R$181, MATCH(B60, 'Applications List'!$B$5:$B$181, 0))</f>
        <v>No</v>
      </c>
      <c r="I60" s="71">
        <f>INDEX('Applications List'!$X$4:$X$181, MATCH(B60, 'Applications List'!$B$4:$B$181, 0))</f>
        <v>0.125</v>
      </c>
      <c r="J60" s="102">
        <f t="shared" si="6"/>
        <v>0</v>
      </c>
      <c r="K60" s="102">
        <f t="shared" si="7"/>
        <v>0</v>
      </c>
      <c r="L60" s="120">
        <f t="shared" si="8"/>
        <v>0</v>
      </c>
    </row>
    <row r="61" spans="1:12" x14ac:dyDescent="0.35">
      <c r="A61">
        <v>3.3</v>
      </c>
      <c r="B61" s="8" t="s">
        <v>170</v>
      </c>
      <c r="C61" t="s">
        <v>171</v>
      </c>
      <c r="D61" s="130" t="s">
        <v>112</v>
      </c>
      <c r="E61" s="102" t="str">
        <f>IFERROR(VLOOKUP(B61,'Categories List'!B$2:C$36,2,FALSE),"")</f>
        <v/>
      </c>
      <c r="F61" s="26" t="str">
        <f>INDEX('Applications List'!$P$4:$P$181, MATCH(B61, 'Applications List'!$B$4:$B$181, 0))</f>
        <v>Maybe</v>
      </c>
      <c r="H61" s="16" t="str">
        <f>INDEX('Applications List'!$R$5:$R$181, MATCH(B61, 'Applications List'!$B$5:$B$181, 0))</f>
        <v>No</v>
      </c>
      <c r="I61" s="71">
        <f>INDEX('Applications List'!$X$4:$X$181, MATCH(B61, 'Applications List'!$B$4:$B$181, 0))</f>
        <v>0.125</v>
      </c>
      <c r="J61" s="102">
        <f t="shared" si="6"/>
        <v>0</v>
      </c>
      <c r="K61" s="102">
        <f t="shared" si="7"/>
        <v>0</v>
      </c>
      <c r="L61" s="120">
        <f t="shared" si="8"/>
        <v>0</v>
      </c>
    </row>
    <row r="62" spans="1:12" x14ac:dyDescent="0.35">
      <c r="A62">
        <v>3.4</v>
      </c>
      <c r="B62" s="8" t="s">
        <v>172</v>
      </c>
      <c r="C62" t="s">
        <v>173</v>
      </c>
      <c r="D62" s="130" t="s">
        <v>112</v>
      </c>
      <c r="E62" s="102" t="str">
        <f>IFERROR(VLOOKUP(B62,'Categories List'!B$2:C$36,2,FALSE),"")</f>
        <v/>
      </c>
      <c r="F62" s="26" t="str">
        <f>INDEX('Applications List'!$P$4:$P$181, MATCH(B62, 'Applications List'!$B$4:$B$181, 0))</f>
        <v>Maybe</v>
      </c>
      <c r="H62" s="16" t="str">
        <f>INDEX('Applications List'!$R$5:$R$181, MATCH(B62, 'Applications List'!$B$5:$B$181, 0))</f>
        <v>No</v>
      </c>
      <c r="I62" s="71">
        <f>INDEX('Applications List'!$X$4:$X$181, MATCH(B62, 'Applications List'!$B$4:$B$181, 0))</f>
        <v>0.125</v>
      </c>
      <c r="J62" s="102">
        <f t="shared" si="6"/>
        <v>0</v>
      </c>
      <c r="K62" s="102">
        <f t="shared" si="7"/>
        <v>0</v>
      </c>
      <c r="L62" s="120">
        <f t="shared" si="8"/>
        <v>0</v>
      </c>
    </row>
    <row r="63" spans="1:12" x14ac:dyDescent="0.35">
      <c r="A63">
        <v>3.5</v>
      </c>
      <c r="B63" s="8" t="s">
        <v>174</v>
      </c>
      <c r="C63" t="s">
        <v>175</v>
      </c>
      <c r="D63" s="130" t="s">
        <v>112</v>
      </c>
      <c r="E63" s="102" t="str">
        <f>IFERROR(VLOOKUP(B63,'Categories List'!B$2:C$36,2,FALSE),"")</f>
        <v/>
      </c>
      <c r="F63" s="26" t="str">
        <f>INDEX('Applications List'!$P$4:$P$181, MATCH(B63, 'Applications List'!$B$4:$B$181, 0))</f>
        <v>Maybe</v>
      </c>
      <c r="H63" s="16" t="str">
        <f>INDEX('Applications List'!$R$5:$R$181, MATCH(B63, 'Applications List'!$B$5:$B$181, 0))</f>
        <v>No</v>
      </c>
      <c r="I63" s="71">
        <f>INDEX('Applications List'!$X$4:$X$181, MATCH(B63, 'Applications List'!$B$4:$B$181, 0))</f>
        <v>0.125</v>
      </c>
      <c r="J63" s="102">
        <f t="shared" si="6"/>
        <v>0</v>
      </c>
      <c r="K63" s="102">
        <f t="shared" si="7"/>
        <v>0</v>
      </c>
      <c r="L63" s="120">
        <f t="shared" si="8"/>
        <v>0</v>
      </c>
    </row>
    <row r="64" spans="1:12" x14ac:dyDescent="0.35">
      <c r="A64">
        <v>3.6</v>
      </c>
      <c r="B64" s="8" t="s">
        <v>177</v>
      </c>
      <c r="C64" t="s">
        <v>178</v>
      </c>
      <c r="D64" s="130" t="s">
        <v>112</v>
      </c>
      <c r="E64" s="102" t="str">
        <f>IFERROR(VLOOKUP(B64,'Categories List'!B$2:C$36,2,FALSE),"")</f>
        <v/>
      </c>
      <c r="F64" s="26" t="str">
        <f>INDEX('Applications List'!$P$4:$P$181, MATCH(B64, 'Applications List'!$B$4:$B$181, 0))</f>
        <v>Maybe</v>
      </c>
      <c r="H64" s="16" t="str">
        <f>INDEX('Applications List'!$R$5:$R$181, MATCH(B64, 'Applications List'!$B$5:$B$181, 0))</f>
        <v>No</v>
      </c>
      <c r="I64" s="71">
        <f>INDEX('Applications List'!$X$4:$X$181, MATCH(B64, 'Applications List'!$B$4:$B$181, 0))</f>
        <v>0.125</v>
      </c>
      <c r="J64" s="102">
        <f t="shared" si="6"/>
        <v>0</v>
      </c>
      <c r="K64" s="102">
        <f t="shared" si="7"/>
        <v>0</v>
      </c>
      <c r="L64" s="120">
        <f t="shared" si="8"/>
        <v>0</v>
      </c>
    </row>
    <row r="65" spans="1:25" x14ac:dyDescent="0.35">
      <c r="A65">
        <v>3.7</v>
      </c>
      <c r="B65" s="8" t="s">
        <v>180</v>
      </c>
      <c r="C65" t="s">
        <v>181</v>
      </c>
      <c r="D65" s="130" t="s">
        <v>112</v>
      </c>
      <c r="E65" s="102" t="str">
        <f>IFERROR(VLOOKUP(B65,'Categories List'!B$2:C$36,2,FALSE),"")</f>
        <v/>
      </c>
      <c r="F65" s="27" t="str">
        <f>INDEX('Applications List'!$P$4:$P$181, MATCH(B65, 'Applications List'!$B$4:$B$181, 0))</f>
        <v>Maybe</v>
      </c>
      <c r="G65" s="19"/>
      <c r="H65" s="18" t="str">
        <f>INDEX('Applications List'!$R$5:$R$181, MATCH(B65, 'Applications List'!$B$5:$B$181, 0))</f>
        <v>No</v>
      </c>
      <c r="I65" s="71">
        <f>INDEX('Applications List'!$X$4:$X$181, MATCH(B65, 'Applications List'!$B$4:$B$181, 0))</f>
        <v>0.125</v>
      </c>
      <c r="J65" s="102">
        <f t="shared" si="6"/>
        <v>0</v>
      </c>
      <c r="K65" s="102">
        <f t="shared" si="7"/>
        <v>0</v>
      </c>
      <c r="L65" s="120">
        <f t="shared" si="8"/>
        <v>0</v>
      </c>
    </row>
    <row r="66" spans="1:25" ht="16" x14ac:dyDescent="0.35">
      <c r="A66" s="62">
        <v>4</v>
      </c>
      <c r="B66" s="63" t="s">
        <v>57</v>
      </c>
      <c r="C66" s="56"/>
      <c r="D66" s="134" t="s">
        <v>182</v>
      </c>
      <c r="E66" s="105" t="str">
        <f>IFERROR(VLOOKUP(B66,'Categories List'!B$2:C$36,2,FALSE),"")</f>
        <v>Priority 3</v>
      </c>
      <c r="F66" s="17"/>
      <c r="H66" s="16"/>
      <c r="I66" s="71">
        <f>INDEX('Applications List'!$X$4:$X$181, MATCH(B66, 'Applications List'!$B$4:$B$181, 0))</f>
        <v>0</v>
      </c>
      <c r="J66" s="102">
        <f t="shared" si="1"/>
        <v>0</v>
      </c>
      <c r="K66" s="102">
        <f t="shared" si="2"/>
        <v>0</v>
      </c>
      <c r="L66" s="120">
        <f t="shared" si="0"/>
        <v>0</v>
      </c>
    </row>
    <row r="67" spans="1:25" x14ac:dyDescent="0.35">
      <c r="A67">
        <v>4.0999999999999996</v>
      </c>
      <c r="B67" s="8" t="s">
        <v>183</v>
      </c>
      <c r="C67" t="s">
        <v>184</v>
      </c>
      <c r="D67" s="130" t="s">
        <v>182</v>
      </c>
      <c r="E67" s="102" t="str">
        <f>IFERROR(VLOOKUP(B67,'Categories List'!B$2:C$36,2,FALSE),"")</f>
        <v/>
      </c>
      <c r="F67" s="88" t="str">
        <f>INDEX('Applications List'!$P$4:$P$181, MATCH(B67, 'Applications List'!$B$4:$B$181, 0))</f>
        <v>Yes</v>
      </c>
      <c r="G67" s="91"/>
      <c r="H67" s="99" t="str">
        <f>INDEX('Applications List'!$R$5:$R$181, MATCH(B67, 'Applications List'!$B$5:$B$181, 0))</f>
        <v>Yes</v>
      </c>
      <c r="I67" s="71">
        <f>INDEX('Applications List'!$X$4:$X$181, MATCH(B67, 'Applications List'!$B$4:$B$181, 0))</f>
        <v>0.25</v>
      </c>
      <c r="J67" s="102">
        <f t="shared" ref="J67:J69" si="9">+IF(AND(I67&gt;0.49,I67&lt;0.59),1,0)</f>
        <v>0</v>
      </c>
      <c r="K67" s="102">
        <f t="shared" si="2"/>
        <v>0</v>
      </c>
      <c r="L67" s="120">
        <f t="shared" ref="L67:L69" si="10">+IF(I67&gt;0.74,1,0)</f>
        <v>0</v>
      </c>
    </row>
    <row r="68" spans="1:25" x14ac:dyDescent="0.35">
      <c r="A68">
        <v>4.2</v>
      </c>
      <c r="B68" s="8" t="s">
        <v>185</v>
      </c>
      <c r="C68" t="s">
        <v>186</v>
      </c>
      <c r="D68" s="130" t="s">
        <v>182</v>
      </c>
      <c r="E68" s="102" t="str">
        <f>IFERROR(VLOOKUP(B68,'Categories List'!B$2:C$36,2,FALSE),"")</f>
        <v/>
      </c>
      <c r="F68" s="26" t="str">
        <f>INDEX('Applications List'!$P$4:$P$181, MATCH(B68, 'Applications List'!$B$4:$B$181, 0))</f>
        <v>Yes</v>
      </c>
      <c r="H68" s="16" t="str">
        <f>INDEX('Applications List'!$R$5:$R$181, MATCH(B68, 'Applications List'!$B$5:$B$181, 0))</f>
        <v>Yes</v>
      </c>
      <c r="I68" s="71">
        <f>INDEX('Applications List'!$X$4:$X$181, MATCH(B68, 'Applications List'!$B$4:$B$181, 0))</f>
        <v>0.375</v>
      </c>
      <c r="J68" s="102">
        <f t="shared" si="9"/>
        <v>0</v>
      </c>
      <c r="K68" s="102">
        <f t="shared" si="2"/>
        <v>0</v>
      </c>
      <c r="L68" s="120">
        <f t="shared" si="10"/>
        <v>0</v>
      </c>
    </row>
    <row r="69" spans="1:25" x14ac:dyDescent="0.35">
      <c r="A69">
        <v>4.3</v>
      </c>
      <c r="B69" s="8" t="s">
        <v>188</v>
      </c>
      <c r="C69" t="s">
        <v>189</v>
      </c>
      <c r="D69" s="130" t="s">
        <v>182</v>
      </c>
      <c r="E69" s="102" t="str">
        <f>IFERROR(VLOOKUP(B69,'Categories List'!B$2:C$36,2,FALSE),"")</f>
        <v/>
      </c>
      <c r="F69" s="27" t="str">
        <f>INDEX('Applications List'!$P$4:$P$181, MATCH(B69, 'Applications List'!$B$4:$B$181, 0))</f>
        <v>Yes</v>
      </c>
      <c r="G69" s="19"/>
      <c r="H69" s="18" t="str">
        <f>INDEX('Applications List'!$R$5:$R$181, MATCH(B69, 'Applications List'!$B$5:$B$181, 0))</f>
        <v>Yes</v>
      </c>
      <c r="I69" s="71">
        <f>INDEX('Applications List'!$X$4:$X$181, MATCH(B69, 'Applications List'!$B$4:$B$181, 0))</f>
        <v>0.5</v>
      </c>
      <c r="J69" s="102">
        <f t="shared" si="9"/>
        <v>1</v>
      </c>
      <c r="K69" s="102">
        <f t="shared" si="2"/>
        <v>0</v>
      </c>
      <c r="L69" s="120">
        <f t="shared" si="10"/>
        <v>0</v>
      </c>
    </row>
    <row r="70" spans="1:25" ht="16" x14ac:dyDescent="0.35">
      <c r="A70" s="62">
        <v>16</v>
      </c>
      <c r="B70" s="63" t="s">
        <v>75</v>
      </c>
      <c r="C70" s="56"/>
      <c r="D70" s="134" t="s">
        <v>191</v>
      </c>
      <c r="E70" s="105" t="str">
        <f>IFERROR(VLOOKUP(B70,'Categories List'!B$2:C$36,2,FALSE),"")</f>
        <v>Priority 3</v>
      </c>
      <c r="F70" s="90"/>
      <c r="G70" s="91"/>
      <c r="H70" s="99"/>
      <c r="I70" s="71">
        <f>INDEX('Applications List'!$X$4:$X$181, MATCH(B70, 'Applications List'!$B$4:$B$181, 0))</f>
        <v>0</v>
      </c>
      <c r="J70" s="102">
        <f>+IF(AND(I70&gt;0.49,I70&lt;0.59),1,0)</f>
        <v>0</v>
      </c>
      <c r="K70" s="102">
        <f>+IF(AND(I70&gt;0.6,I70&lt;0.74),1,0)</f>
        <v>0</v>
      </c>
      <c r="L70" s="120">
        <f>+IF(I70&gt;0.74,1,0)</f>
        <v>0</v>
      </c>
    </row>
    <row r="71" spans="1:25" x14ac:dyDescent="0.35">
      <c r="A71">
        <v>16.100000000000001</v>
      </c>
      <c r="B71" s="8" t="s">
        <v>335</v>
      </c>
      <c r="C71" t="s">
        <v>336</v>
      </c>
      <c r="D71" s="130" t="s">
        <v>191</v>
      </c>
      <c r="E71" s="102" t="str">
        <f>IFERROR(VLOOKUP(B71,'Categories List'!B$2:C$36,2,FALSE),"")</f>
        <v/>
      </c>
      <c r="F71" s="88" t="str">
        <f>INDEX('Applications List'!$P$4:$P$181, MATCH(B71, 'Applications List'!$B$4:$B$181, 0))</f>
        <v>Yes</v>
      </c>
      <c r="G71" s="91"/>
      <c r="H71" s="99" t="str">
        <f>INDEX('Applications List'!$R$5:$R$181, MATCH(B71, 'Applications List'!$B$5:$B$181, 0))</f>
        <v>Yes</v>
      </c>
      <c r="I71" s="71">
        <f>INDEX('Applications List'!$X$4:$X$181, MATCH(B71, 'Applications List'!$B$4:$B$181, 0))</f>
        <v>0.25</v>
      </c>
      <c r="J71" s="102">
        <f>+IF(AND(I71&gt;0.49,I71&lt;0.59),1,0)</f>
        <v>0</v>
      </c>
      <c r="K71" s="102">
        <f>+IF(AND(I71&gt;0.6,I71&lt;0.74),1,0)</f>
        <v>0</v>
      </c>
      <c r="L71" s="120">
        <f>+IF(I71&gt;0.74,1,0)</f>
        <v>0</v>
      </c>
    </row>
    <row r="72" spans="1:25" x14ac:dyDescent="0.35">
      <c r="A72">
        <v>16.2</v>
      </c>
      <c r="B72" s="8" t="s">
        <v>338</v>
      </c>
      <c r="C72" t="s">
        <v>339</v>
      </c>
      <c r="D72" s="130" t="s">
        <v>191</v>
      </c>
      <c r="E72" s="102" t="str">
        <f>IFERROR(VLOOKUP(B72,'Categories List'!B$2:C$36,2,FALSE),"")</f>
        <v/>
      </c>
      <c r="F72" s="26" t="str">
        <f>INDEX('Applications List'!$P$4:$P$181, MATCH(B72, 'Applications List'!$B$4:$B$181, 0))</f>
        <v>No</v>
      </c>
      <c r="H72" s="16" t="str">
        <f>INDEX('Applications List'!$R$5:$R$181, MATCH(B72, 'Applications List'!$B$5:$B$181, 0))</f>
        <v>No</v>
      </c>
      <c r="I72" s="71">
        <f>INDEX('Applications List'!$X$4:$X$181, MATCH(B72, 'Applications List'!$B$4:$B$181, 0))</f>
        <v>0</v>
      </c>
      <c r="J72" s="102">
        <f>+IF(AND(I72&gt;0.49,I72&lt;0.59),1,0)</f>
        <v>0</v>
      </c>
      <c r="K72" s="102">
        <f>+IF(AND(I72&gt;0.6,I72&lt;0.74),1,0)</f>
        <v>0</v>
      </c>
      <c r="L72" s="120">
        <f>+IF(I72&gt;0.74,1,0)</f>
        <v>0</v>
      </c>
    </row>
    <row r="73" spans="1:25" x14ac:dyDescent="0.35">
      <c r="A73" s="109">
        <v>16.3</v>
      </c>
      <c r="B73" s="110" t="s">
        <v>340</v>
      </c>
      <c r="C73" s="109" t="s">
        <v>341</v>
      </c>
      <c r="D73" s="131" t="s">
        <v>191</v>
      </c>
      <c r="E73" s="111" t="str">
        <f>IFERROR(VLOOKUP(B73,'Categories List'!B$2:C$36,2,FALSE),"")</f>
        <v/>
      </c>
      <c r="F73" s="27" t="str">
        <f>INDEX('Applications List'!$P$4:$P$181, MATCH(B73, 'Applications List'!$B$4:$B$181, 0))</f>
        <v>Yes</v>
      </c>
      <c r="G73" s="19"/>
      <c r="H73" s="18" t="str">
        <f>INDEX('Applications List'!$R$5:$R$181, MATCH(B73, 'Applications List'!$B$5:$B$181, 0))</f>
        <v>Yes</v>
      </c>
      <c r="I73" s="71">
        <f>INDEX('Applications List'!$X$4:$X$181, MATCH(B73, 'Applications List'!$B$4:$B$181, 0))</f>
        <v>0.25</v>
      </c>
      <c r="J73" s="102">
        <f>+IF(AND(I73&gt;0.49,I73&lt;0.59),1,0)</f>
        <v>0</v>
      </c>
      <c r="K73" s="102">
        <f>+IF(AND(I73&gt;0.6,I73&lt;0.74),1,0)</f>
        <v>0</v>
      </c>
      <c r="L73" s="120">
        <f>+IF(I73&gt;0.74,1,0)</f>
        <v>0</v>
      </c>
    </row>
    <row r="74" spans="1:25" ht="16" x14ac:dyDescent="0.35">
      <c r="A74" s="62">
        <v>9</v>
      </c>
      <c r="B74" s="63" t="s">
        <v>66</v>
      </c>
      <c r="C74" s="56"/>
      <c r="D74" s="41" t="s">
        <v>112</v>
      </c>
      <c r="E74" s="350" t="str">
        <f>IFERROR(VLOOKUP(B74,'Categories List'!B$2:C$36,2,FALSE),"")</f>
        <v>Priority 3</v>
      </c>
      <c r="F74" s="27"/>
      <c r="G74" s="26"/>
      <c r="H74" s="18"/>
      <c r="I74" s="71">
        <f>INDEX('Applications List'!$X$4:$X$181, MATCH(B74, 'Applications List'!$B$4:$B$181, 0))</f>
        <v>0</v>
      </c>
      <c r="J74" s="102">
        <f t="shared" ref="J74:J84" si="11">+IF(AND(I74&gt;0.49,I74&lt;0.59),1,0)</f>
        <v>0</v>
      </c>
      <c r="K74" s="102">
        <f t="shared" ref="K74:K80" si="12">+IF(AND(I74&gt;0.6,I74&lt;0.74),1,0)</f>
        <v>0</v>
      </c>
      <c r="L74" s="120">
        <f t="shared" ref="L74:L80" si="13">+IF(I74&gt;0.74,1,0)</f>
        <v>0</v>
      </c>
      <c r="M74" s="11"/>
      <c r="N74" s="11"/>
      <c r="P74" s="11"/>
      <c r="T74" s="11"/>
      <c r="U74" s="11"/>
      <c r="V74" s="11"/>
      <c r="W74" s="11"/>
      <c r="X74" s="11"/>
      <c r="Y74" s="11"/>
    </row>
    <row r="75" spans="1:25" x14ac:dyDescent="0.35">
      <c r="A75">
        <v>9.1</v>
      </c>
      <c r="B75" s="8" t="s">
        <v>247</v>
      </c>
      <c r="C75" t="s">
        <v>248</v>
      </c>
      <c r="D75" s="31" t="s">
        <v>112</v>
      </c>
      <c r="F75" s="26" t="str">
        <f>INDEX('Applications List'!$P$4:$P$181, MATCH(B75, 'Applications List'!$B$4:$B$181, 0))</f>
        <v>Maybe</v>
      </c>
      <c r="G75" s="88"/>
      <c r="H75" s="88" t="str">
        <f>INDEX('Applications List'!$R$5:$R$181, MATCH(B75, 'Applications List'!$B$5:$B$181, 0))</f>
        <v>No</v>
      </c>
      <c r="I75" s="71">
        <f>INDEX('Applications List'!$X$4:$X$181, MATCH(B75, 'Applications List'!$B$4:$B$181, 0))</f>
        <v>0.125</v>
      </c>
      <c r="J75" s="102">
        <f t="shared" si="11"/>
        <v>0</v>
      </c>
      <c r="K75" s="102">
        <f t="shared" si="12"/>
        <v>0</v>
      </c>
      <c r="L75" s="120">
        <f t="shared" si="13"/>
        <v>0</v>
      </c>
      <c r="M75" s="11"/>
      <c r="N75" s="11"/>
      <c r="P75" s="11"/>
      <c r="T75" s="11"/>
      <c r="U75" s="11"/>
      <c r="V75" s="11"/>
      <c r="W75" s="11"/>
      <c r="X75" s="11"/>
      <c r="Y75" s="11"/>
    </row>
    <row r="76" spans="1:25" x14ac:dyDescent="0.35">
      <c r="A76">
        <v>9.1999999999999993</v>
      </c>
      <c r="B76" s="8" t="s">
        <v>249</v>
      </c>
      <c r="C76" t="s">
        <v>250</v>
      </c>
      <c r="D76" s="31" t="s">
        <v>112</v>
      </c>
      <c r="F76" s="26" t="str">
        <f>INDEX('Applications List'!$P$4:$P$181, MATCH(B76, 'Applications List'!$B$4:$B$181, 0))</f>
        <v>Maybe</v>
      </c>
      <c r="G76" s="26"/>
      <c r="H76" s="16" t="str">
        <f>INDEX('Applications List'!$R$5:$R$181, MATCH(B76, 'Applications List'!$B$5:$B$181, 0))</f>
        <v>No</v>
      </c>
      <c r="I76" s="71">
        <f>INDEX('Applications List'!$X$4:$X$181, MATCH(B76, 'Applications List'!$B$4:$B$181, 0))</f>
        <v>0.125</v>
      </c>
      <c r="J76" s="102">
        <f t="shared" si="11"/>
        <v>0</v>
      </c>
      <c r="K76" s="102">
        <f t="shared" si="12"/>
        <v>0</v>
      </c>
      <c r="L76" s="120">
        <f t="shared" si="13"/>
        <v>0</v>
      </c>
      <c r="M76" s="11"/>
      <c r="N76" s="11"/>
      <c r="P76" s="11"/>
      <c r="T76" s="11"/>
      <c r="U76" s="11"/>
      <c r="V76" s="11"/>
      <c r="W76" s="11"/>
      <c r="X76" s="11"/>
      <c r="Y76" s="11"/>
    </row>
    <row r="77" spans="1:25" x14ac:dyDescent="0.35">
      <c r="A77">
        <v>9.3000000000000007</v>
      </c>
      <c r="B77" s="8" t="s">
        <v>252</v>
      </c>
      <c r="C77" t="s">
        <v>253</v>
      </c>
      <c r="D77" s="31" t="s">
        <v>112</v>
      </c>
      <c r="F77" s="26" t="str">
        <f>INDEX('Applications List'!$P$4:$P$181, MATCH(B77, 'Applications List'!$B$4:$B$181, 0))</f>
        <v>Yes</v>
      </c>
      <c r="G77" s="26"/>
      <c r="H77" s="26" t="str">
        <f>INDEX('Applications List'!$R$5:$R$181, MATCH(B77, 'Applications List'!$B$5:$B$181, 0))</f>
        <v>Yes</v>
      </c>
      <c r="I77" s="71">
        <f>INDEX('Applications List'!$X$4:$X$181, MATCH(B77, 'Applications List'!$B$4:$B$181, 0))</f>
        <v>0.25</v>
      </c>
      <c r="J77" s="102">
        <f t="shared" si="11"/>
        <v>0</v>
      </c>
      <c r="K77" s="102">
        <f t="shared" si="12"/>
        <v>0</v>
      </c>
      <c r="L77" s="120">
        <f t="shared" si="13"/>
        <v>0</v>
      </c>
      <c r="M77" s="11"/>
      <c r="N77" s="11"/>
      <c r="P77" s="11"/>
      <c r="T77" s="11"/>
      <c r="U77" s="11"/>
      <c r="V77" s="11"/>
      <c r="W77" s="11"/>
      <c r="X77" s="11"/>
      <c r="Y77" s="11"/>
    </row>
    <row r="78" spans="1:25" x14ac:dyDescent="0.35">
      <c r="A78">
        <v>9.4</v>
      </c>
      <c r="B78" s="8" t="s">
        <v>255</v>
      </c>
      <c r="C78" t="s">
        <v>256</v>
      </c>
      <c r="D78" s="31" t="s">
        <v>112</v>
      </c>
      <c r="F78" s="26" t="str">
        <f>INDEX('Applications List'!$P$4:$P$181, MATCH(B78, 'Applications List'!$B$4:$B$181, 0))</f>
        <v>Yes</v>
      </c>
      <c r="G78" s="26"/>
      <c r="H78" s="26" t="str">
        <f>INDEX('Applications List'!$R$5:$R$181, MATCH(B78, 'Applications List'!$B$5:$B$181, 0))</f>
        <v>Yes</v>
      </c>
      <c r="I78" s="71">
        <f>INDEX('Applications List'!$X$4:$X$181, MATCH(B78, 'Applications List'!$B$4:$B$181, 0))</f>
        <v>0.625</v>
      </c>
      <c r="J78" s="102">
        <f t="shared" si="11"/>
        <v>0</v>
      </c>
      <c r="K78" s="102">
        <f t="shared" si="12"/>
        <v>1</v>
      </c>
      <c r="L78" s="120">
        <f t="shared" si="13"/>
        <v>0</v>
      </c>
      <c r="M78" s="11"/>
      <c r="N78" s="11"/>
      <c r="P78" s="11"/>
      <c r="T78" s="11"/>
      <c r="U78" s="11"/>
      <c r="V78" s="11"/>
      <c r="W78" s="11"/>
      <c r="X78" s="11"/>
      <c r="Y78" s="11"/>
    </row>
    <row r="79" spans="1:25" x14ac:dyDescent="0.35">
      <c r="A79">
        <v>9.5</v>
      </c>
      <c r="B79" s="8" t="s">
        <v>258</v>
      </c>
      <c r="C79" t="s">
        <v>259</v>
      </c>
      <c r="D79" s="31" t="s">
        <v>112</v>
      </c>
      <c r="F79" s="27" t="str">
        <f>INDEX('Applications List'!$P$4:$P$181, MATCH(B79, 'Applications List'!$B$4:$B$181, 0))</f>
        <v>Maybe</v>
      </c>
      <c r="G79" s="27"/>
      <c r="H79" s="27" t="str">
        <f>INDEX('Applications List'!$R$5:$R$181, MATCH(B79, 'Applications List'!$B$5:$B$181, 0))</f>
        <v>No</v>
      </c>
      <c r="I79" s="71">
        <f>INDEX('Applications List'!$X$4:$X$181, MATCH(B79, 'Applications List'!$B$4:$B$181, 0))</f>
        <v>0.125</v>
      </c>
      <c r="J79" s="102">
        <f t="shared" si="11"/>
        <v>0</v>
      </c>
      <c r="K79" s="102">
        <f t="shared" si="12"/>
        <v>0</v>
      </c>
      <c r="L79" s="120">
        <f t="shared" si="13"/>
        <v>0</v>
      </c>
      <c r="M79" s="11"/>
      <c r="N79" s="11"/>
      <c r="P79" s="11"/>
      <c r="T79" s="11"/>
      <c r="U79" s="11"/>
      <c r="V79" s="11"/>
      <c r="W79" s="11"/>
      <c r="X79" s="11"/>
      <c r="Y79" s="11"/>
    </row>
    <row r="80" spans="1:25" ht="16" x14ac:dyDescent="0.35">
      <c r="A80" s="62">
        <v>12</v>
      </c>
      <c r="B80" s="63" t="s">
        <v>71</v>
      </c>
      <c r="C80" s="56"/>
      <c r="D80" s="41" t="s">
        <v>284</v>
      </c>
      <c r="E80" s="60" t="str">
        <f>IFERROR(VLOOKUP(B80,'Categories List'!B$2:C$36,2,FALSE),"")</f>
        <v>Priority 3</v>
      </c>
      <c r="F80" s="61"/>
      <c r="G80" s="61"/>
      <c r="H80" s="61"/>
      <c r="I80" s="71">
        <f>INDEX('Applications List'!$X$4:$X$181, MATCH(B80, 'Applications List'!$B$4:$B$181, 0))</f>
        <v>0</v>
      </c>
      <c r="J80" s="102">
        <f t="shared" si="11"/>
        <v>0</v>
      </c>
      <c r="K80" s="102">
        <f t="shared" si="12"/>
        <v>0</v>
      </c>
      <c r="L80" s="120">
        <f t="shared" si="13"/>
        <v>0</v>
      </c>
      <c r="M80" s="11"/>
      <c r="N80" s="11"/>
      <c r="P80" s="11"/>
      <c r="T80" s="11"/>
      <c r="U80" s="11"/>
      <c r="V80" s="11"/>
      <c r="W80" s="11"/>
      <c r="X80" s="11"/>
      <c r="Y80" s="11"/>
    </row>
    <row r="81" spans="1:25" x14ac:dyDescent="0.35">
      <c r="A81">
        <v>12.1</v>
      </c>
      <c r="B81" s="8" t="s">
        <v>285</v>
      </c>
      <c r="C81" t="s">
        <v>286</v>
      </c>
      <c r="D81" s="31" t="s">
        <v>284</v>
      </c>
      <c r="E81"/>
      <c r="F81" s="26" t="str">
        <f>INDEX('Applications List'!$P$4:$P$181, MATCH(B81, 'Applications List'!$B$4:$B$181, 0))</f>
        <v>Maybe</v>
      </c>
      <c r="H81" s="16" t="str">
        <f>INDEX('Applications List'!$R$5:$R$181, MATCH(B81, 'Applications List'!$B$5:$B$181, 0))</f>
        <v>Maybe</v>
      </c>
      <c r="I81" s="71">
        <f>INDEX('Applications List'!$X$4:$X$181, MATCH(B81, 'Applications List'!$B$4:$B$181, 0))</f>
        <v>0.375</v>
      </c>
      <c r="J81" s="102">
        <f t="shared" si="11"/>
        <v>0</v>
      </c>
      <c r="K81" s="102">
        <f t="shared" ref="K81:K84" si="14">+IF(AND(I81&gt;0.6,I81&lt;0.74),1,0)</f>
        <v>0</v>
      </c>
      <c r="L81" s="120">
        <f t="shared" ref="L81:L84" si="15">+IF(I81&gt;0.74,1,0)</f>
        <v>0</v>
      </c>
      <c r="M81" s="11"/>
      <c r="N81" s="11"/>
      <c r="P81" s="11"/>
      <c r="T81" s="11"/>
      <c r="U81" s="11"/>
      <c r="V81" s="11"/>
      <c r="W81" s="11"/>
      <c r="X81" s="11"/>
      <c r="Y81" s="11"/>
    </row>
    <row r="82" spans="1:25" x14ac:dyDescent="0.35">
      <c r="A82">
        <v>12.2</v>
      </c>
      <c r="B82" s="8" t="s">
        <v>288</v>
      </c>
      <c r="C82" t="s">
        <v>289</v>
      </c>
      <c r="D82" s="31" t="s">
        <v>284</v>
      </c>
      <c r="E82"/>
      <c r="F82" s="26" t="str">
        <f>INDEX('Applications List'!$P$4:$P$181, MATCH(B82, 'Applications List'!$B$4:$B$181, 0))</f>
        <v>Maybe</v>
      </c>
      <c r="H82" s="26" t="str">
        <f>INDEX('Applications List'!$R$5:$R$181, MATCH(B82, 'Applications List'!$B$5:$B$181, 0))</f>
        <v>No</v>
      </c>
      <c r="I82" s="71">
        <f>INDEX('Applications List'!$X$4:$X$181, MATCH(B82, 'Applications List'!$B$4:$B$181, 0))</f>
        <v>0.125</v>
      </c>
      <c r="J82" s="102">
        <f t="shared" si="11"/>
        <v>0</v>
      </c>
      <c r="K82" s="102">
        <f t="shared" si="14"/>
        <v>0</v>
      </c>
      <c r="L82" s="120">
        <f t="shared" si="15"/>
        <v>0</v>
      </c>
      <c r="M82" s="11"/>
      <c r="N82" s="11"/>
      <c r="P82" s="11"/>
      <c r="T82" s="11"/>
      <c r="U82" s="11"/>
      <c r="V82" s="11"/>
      <c r="W82" s="11"/>
      <c r="X82" s="11"/>
      <c r="Y82" s="11"/>
    </row>
    <row r="83" spans="1:25" x14ac:dyDescent="0.35">
      <c r="A83">
        <v>12.3</v>
      </c>
      <c r="B83" s="8" t="s">
        <v>291</v>
      </c>
      <c r="C83" t="s">
        <v>292</v>
      </c>
      <c r="D83" s="31" t="s">
        <v>284</v>
      </c>
      <c r="E83"/>
      <c r="F83" s="26" t="str">
        <f>INDEX('Applications List'!$P$4:$P$181, MATCH(B83, 'Applications List'!$B$4:$B$181, 0))</f>
        <v>Maybe</v>
      </c>
      <c r="H83" s="26" t="str">
        <f>INDEX('Applications List'!$R$5:$R$181, MATCH(B83, 'Applications List'!$B$5:$B$181, 0))</f>
        <v>No</v>
      </c>
      <c r="I83" s="71">
        <f>INDEX('Applications List'!$X$4:$X$181, MATCH(B83, 'Applications List'!$B$4:$B$181, 0))</f>
        <v>0.125</v>
      </c>
      <c r="J83" s="102">
        <f t="shared" si="11"/>
        <v>0</v>
      </c>
      <c r="K83" s="102">
        <f t="shared" si="14"/>
        <v>0</v>
      </c>
      <c r="L83" s="120">
        <f t="shared" si="15"/>
        <v>0</v>
      </c>
      <c r="M83" s="11"/>
      <c r="N83" s="11"/>
      <c r="P83" s="11"/>
      <c r="T83" s="11"/>
      <c r="U83" s="11"/>
      <c r="V83" s="11"/>
      <c r="W83" s="11"/>
      <c r="X83" s="11"/>
      <c r="Y83" s="11"/>
    </row>
    <row r="84" spans="1:25" x14ac:dyDescent="0.35">
      <c r="A84">
        <v>12.4</v>
      </c>
      <c r="B84" s="8" t="s">
        <v>294</v>
      </c>
      <c r="C84" t="s">
        <v>295</v>
      </c>
      <c r="D84" s="31" t="s">
        <v>284</v>
      </c>
      <c r="E84"/>
      <c r="F84" s="26" t="str">
        <f>INDEX('Applications List'!$P$4:$P$181, MATCH(B84, 'Applications List'!$B$4:$B$181, 0))</f>
        <v>Maybe</v>
      </c>
      <c r="H84" s="26" t="str">
        <f>INDEX('Applications List'!$R$5:$R$181, MATCH(B84, 'Applications List'!$B$5:$B$181, 0))</f>
        <v>No</v>
      </c>
      <c r="I84" s="71">
        <f>INDEX('Applications List'!$X$4:$X$181, MATCH(B84, 'Applications List'!$B$4:$B$181, 0))</f>
        <v>0.125</v>
      </c>
      <c r="J84" s="102">
        <f t="shared" si="11"/>
        <v>0</v>
      </c>
      <c r="K84" s="102">
        <f t="shared" si="14"/>
        <v>0</v>
      </c>
      <c r="L84" s="120">
        <f t="shared" si="15"/>
        <v>0</v>
      </c>
      <c r="M84" s="11"/>
      <c r="N84" s="11"/>
      <c r="P84" s="11"/>
      <c r="T84" s="11"/>
      <c r="U84" s="11"/>
      <c r="V84" s="11"/>
      <c r="W84" s="11"/>
      <c r="X84" s="11"/>
      <c r="Y84" s="11"/>
    </row>
    <row r="85" spans="1:25" ht="16" x14ac:dyDescent="0.35">
      <c r="A85" s="62">
        <v>7</v>
      </c>
      <c r="B85" s="63" t="s">
        <v>63</v>
      </c>
      <c r="C85" s="56"/>
      <c r="D85" s="134" t="s">
        <v>219</v>
      </c>
      <c r="E85" s="350" t="str">
        <f>IFERROR(VLOOKUP(B85,'Categories List'!B$2:C$36,2,FALSE),"")</f>
        <v>Priority 3</v>
      </c>
      <c r="F85" s="61"/>
      <c r="G85" s="87"/>
      <c r="H85" s="61"/>
      <c r="I85" s="71">
        <f>INDEX('Applications List'!$X$4:$X$181, MATCH(B85, 'Applications List'!$B$4:$B$181, 0))</f>
        <v>0</v>
      </c>
      <c r="J85" s="102">
        <f t="shared" ref="J85:J90" si="16">+IF(AND(I85&gt;0.49,I85&lt;0.59),1,0)</f>
        <v>0</v>
      </c>
      <c r="K85" s="102">
        <f t="shared" ref="K85:K90" si="17">+IF(AND(I85&gt;0.6,I85&lt;0.74),1,0)</f>
        <v>0</v>
      </c>
      <c r="L85" s="120">
        <f t="shared" ref="L85:L90" si="18">+IF(I85&gt;0.74,1,0)</f>
        <v>0</v>
      </c>
    </row>
    <row r="86" spans="1:25" x14ac:dyDescent="0.35">
      <c r="A86">
        <v>7.1</v>
      </c>
      <c r="B86" s="8" t="s">
        <v>220</v>
      </c>
      <c r="C86" t="s">
        <v>221</v>
      </c>
      <c r="D86" s="130" t="s">
        <v>219</v>
      </c>
      <c r="E86" s="102" t="str">
        <f>IFERROR(VLOOKUP(B86,'Categories List'!B$2:C$36,2,FALSE),"")</f>
        <v/>
      </c>
      <c r="F86" s="88" t="str">
        <f>INDEX('Applications List'!$P$4:$P$181, MATCH(B86, 'Applications List'!$B$4:$B$181, 0))</f>
        <v>No</v>
      </c>
      <c r="G86" s="91"/>
      <c r="H86" s="99" t="str">
        <f>INDEX('Applications List'!$R$5:$R$181, MATCH(B86, 'Applications List'!$B$5:$B$181, 0))</f>
        <v>No</v>
      </c>
      <c r="I86" s="71">
        <f>INDEX('Applications List'!$X$4:$X$181, MATCH(B86, 'Applications List'!$B$4:$B$181, 0))</f>
        <v>0</v>
      </c>
      <c r="J86" s="102">
        <f t="shared" si="16"/>
        <v>0</v>
      </c>
      <c r="K86" s="102">
        <f t="shared" si="17"/>
        <v>0</v>
      </c>
      <c r="L86" s="120">
        <f t="shared" si="18"/>
        <v>0</v>
      </c>
    </row>
    <row r="87" spans="1:25" x14ac:dyDescent="0.35">
      <c r="A87">
        <v>7.2</v>
      </c>
      <c r="B87" s="8" t="s">
        <v>222</v>
      </c>
      <c r="C87" t="s">
        <v>223</v>
      </c>
      <c r="D87" s="130" t="s">
        <v>219</v>
      </c>
      <c r="E87" s="102" t="str">
        <f>IFERROR(VLOOKUP(B87,'Categories List'!B$2:C$36,2,FALSE),"")</f>
        <v/>
      </c>
      <c r="F87" s="26" t="str">
        <f>INDEX('Applications List'!$P$4:$P$181, MATCH(B87, 'Applications List'!$B$4:$B$181, 0))</f>
        <v>Yes</v>
      </c>
      <c r="H87" s="16" t="str">
        <f>INDEX('Applications List'!$R$5:$R$181, MATCH(B87, 'Applications List'!$B$5:$B$181, 0))</f>
        <v>Yes</v>
      </c>
      <c r="I87" s="71">
        <f>INDEX('Applications List'!$X$4:$X$181, MATCH(B87, 'Applications List'!$B$4:$B$181, 0))</f>
        <v>0.25</v>
      </c>
      <c r="J87" s="102">
        <f t="shared" si="16"/>
        <v>0</v>
      </c>
      <c r="K87" s="102">
        <f t="shared" si="17"/>
        <v>0</v>
      </c>
      <c r="L87" s="120">
        <f t="shared" si="18"/>
        <v>0</v>
      </c>
    </row>
    <row r="88" spans="1:25" x14ac:dyDescent="0.35">
      <c r="A88">
        <v>7.3</v>
      </c>
      <c r="B88" s="8" t="s">
        <v>225</v>
      </c>
      <c r="C88" t="s">
        <v>226</v>
      </c>
      <c r="D88" s="130" t="s">
        <v>219</v>
      </c>
      <c r="E88" s="102" t="str">
        <f>IFERROR(VLOOKUP(B88,'Categories List'!B$2:C$36,2,FALSE),"")</f>
        <v/>
      </c>
      <c r="F88" s="26" t="str">
        <f>INDEX('Applications List'!$P$4:$P$181, MATCH(B88, 'Applications List'!$B$4:$B$181, 0))</f>
        <v>Yes</v>
      </c>
      <c r="H88" s="16" t="str">
        <f>INDEX('Applications List'!$R$5:$R$181, MATCH(B88, 'Applications List'!$B$5:$B$181, 0))</f>
        <v>Yes</v>
      </c>
      <c r="I88" s="71">
        <f>INDEX('Applications List'!$X$4:$X$181, MATCH(B88, 'Applications List'!$B$4:$B$181, 0))</f>
        <v>0.5</v>
      </c>
      <c r="J88" s="102">
        <f t="shared" si="16"/>
        <v>1</v>
      </c>
      <c r="K88" s="102">
        <f t="shared" si="17"/>
        <v>0</v>
      </c>
      <c r="L88" s="120">
        <f t="shared" si="18"/>
        <v>0</v>
      </c>
    </row>
    <row r="89" spans="1:25" x14ac:dyDescent="0.35">
      <c r="A89">
        <v>7.4</v>
      </c>
      <c r="B89" s="8" t="s">
        <v>228</v>
      </c>
      <c r="C89" t="s">
        <v>229</v>
      </c>
      <c r="D89" s="130" t="s">
        <v>219</v>
      </c>
      <c r="E89" s="102" t="str">
        <f>IFERROR(VLOOKUP(B89,'Categories List'!B$2:C$36,2,FALSE),"")</f>
        <v/>
      </c>
      <c r="F89" s="26" t="str">
        <f>INDEX('Applications List'!$P$4:$P$181, MATCH(B89, 'Applications List'!$B$4:$B$181, 0))</f>
        <v>Yes</v>
      </c>
      <c r="H89" s="16" t="str">
        <f>INDEX('Applications List'!$R$5:$R$181, MATCH(B89, 'Applications List'!$B$5:$B$181, 0))</f>
        <v>Yes</v>
      </c>
      <c r="I89" s="71">
        <f>INDEX('Applications List'!$X$4:$X$181, MATCH(B89, 'Applications List'!$B$4:$B$181, 0))</f>
        <v>0.25</v>
      </c>
      <c r="J89" s="102">
        <f t="shared" si="16"/>
        <v>0</v>
      </c>
      <c r="K89" s="102">
        <f t="shared" si="17"/>
        <v>0</v>
      </c>
      <c r="L89" s="120">
        <f t="shared" si="18"/>
        <v>0</v>
      </c>
    </row>
    <row r="90" spans="1:25" x14ac:dyDescent="0.35">
      <c r="A90" s="109">
        <v>7.5</v>
      </c>
      <c r="B90" s="110" t="s">
        <v>231</v>
      </c>
      <c r="C90" s="109" t="s">
        <v>232</v>
      </c>
      <c r="D90" s="131" t="s">
        <v>219</v>
      </c>
      <c r="E90" s="111" t="str">
        <f>IFERROR(VLOOKUP(B90,'Categories List'!B$2:C$36,2,FALSE),"")</f>
        <v/>
      </c>
      <c r="F90" s="27" t="str">
        <f>INDEX('Applications List'!$P$4:$P$181, MATCH(B90, 'Applications List'!$B$4:$B$181, 0))</f>
        <v>No</v>
      </c>
      <c r="G90" s="19"/>
      <c r="H90" s="18" t="str">
        <f>INDEX('Applications List'!$R$5:$R$181, MATCH(B90, 'Applications List'!$B$5:$B$181, 0))</f>
        <v>No</v>
      </c>
      <c r="I90" s="122">
        <f>INDEX('Applications List'!$X$4:$X$181, MATCH(B90, 'Applications List'!$B$4:$B$181, 0))</f>
        <v>0</v>
      </c>
      <c r="J90" s="111">
        <f t="shared" si="16"/>
        <v>0</v>
      </c>
      <c r="K90" s="111">
        <f t="shared" si="17"/>
        <v>0</v>
      </c>
      <c r="L90" s="121">
        <f t="shared" si="18"/>
        <v>0</v>
      </c>
    </row>
    <row r="91" spans="1:25" x14ac:dyDescent="0.35">
      <c r="B91" s="8"/>
      <c r="I91" s="102"/>
      <c r="J91" s="102"/>
      <c r="K91" s="102"/>
      <c r="L91" s="102"/>
    </row>
    <row r="92" spans="1:25" ht="16" x14ac:dyDescent="0.35">
      <c r="A92" s="423" t="s">
        <v>94</v>
      </c>
      <c r="B92" s="423"/>
      <c r="C92" s="423"/>
      <c r="D92" s="149" t="s">
        <v>489</v>
      </c>
      <c r="E92" s="102" t="s">
        <v>118</v>
      </c>
      <c r="F92" s="11">
        <f>+COUNTIF($F$4:$F$90,E92)</f>
        <v>40</v>
      </c>
      <c r="H92" s="11">
        <f>+COUNTIF($H$4:$H$90,E92)</f>
        <v>40</v>
      </c>
      <c r="I92" s="11"/>
      <c r="J92" s="116">
        <f>SUM(J5:J90)</f>
        <v>8</v>
      </c>
      <c r="K92" s="50">
        <f>SUM(K5:K90)</f>
        <v>9</v>
      </c>
      <c r="L92" s="115">
        <f>SUM(L5:L90)</f>
        <v>12</v>
      </c>
      <c r="M92" s="22">
        <f>SUM(J92:L92)</f>
        <v>29</v>
      </c>
      <c r="N92" t="s">
        <v>3442</v>
      </c>
    </row>
    <row r="93" spans="1:25" x14ac:dyDescent="0.35">
      <c r="E93" s="102" t="s">
        <v>120</v>
      </c>
      <c r="F93" s="11">
        <f>+COUNTIF($F$4:$F$90,E93)</f>
        <v>28</v>
      </c>
      <c r="H93" s="11">
        <f>+COUNTIF($H$4:$H$90,E93)</f>
        <v>9</v>
      </c>
      <c r="I93" s="11"/>
      <c r="J93" s="11"/>
    </row>
    <row r="94" spans="1:25" x14ac:dyDescent="0.35">
      <c r="E94" s="102" t="s">
        <v>119</v>
      </c>
      <c r="F94" s="11">
        <f>+COUNTIF($F$4:$F$90,E94)</f>
        <v>5</v>
      </c>
      <c r="H94" s="11">
        <f>+COUNTIF($H$4:$H$90,E94)</f>
        <v>24</v>
      </c>
      <c r="I94" s="11"/>
      <c r="J94" s="11"/>
    </row>
    <row r="95" spans="1:25" x14ac:dyDescent="0.35">
      <c r="D95" s="150" t="s">
        <v>490</v>
      </c>
      <c r="E95" s="102" t="s">
        <v>118</v>
      </c>
      <c r="F95" s="11">
        <f>+COUNTIF($F$4:$F$90,E92)</f>
        <v>40</v>
      </c>
      <c r="H95" s="11">
        <f>+COUNTIF($H$4:$H$57,E92)</f>
        <v>29</v>
      </c>
      <c r="J95" s="119">
        <f>SUM(J5:J57)</f>
        <v>6</v>
      </c>
      <c r="K95" s="297">
        <f>SUM(K5:K57)</f>
        <v>8</v>
      </c>
      <c r="L95" s="298">
        <f>SUM(L5:L57)</f>
        <v>12</v>
      </c>
      <c r="M95" s="11">
        <f t="shared" ref="M95" si="19">SUM(J95:L95)</f>
        <v>26</v>
      </c>
    </row>
    <row r="96" spans="1:25" x14ac:dyDescent="0.35">
      <c r="E96" s="102" t="s">
        <v>120</v>
      </c>
      <c r="F96" s="11">
        <f>+COUNTIF($F$4:$F$90,E93)</f>
        <v>28</v>
      </c>
      <c r="H96" s="11">
        <f>+COUNTIF($H$4:$H$57,E93)</f>
        <v>8</v>
      </c>
    </row>
    <row r="97" spans="5:8" x14ac:dyDescent="0.35">
      <c r="E97" s="102" t="s">
        <v>119</v>
      </c>
      <c r="F97" s="11">
        <f>+COUNTIF($F$4:$F$90,E94)</f>
        <v>5</v>
      </c>
      <c r="H97" s="11">
        <f>+COUNTIF($H$4:$H$57,E94)</f>
        <v>9</v>
      </c>
    </row>
  </sheetData>
  <autoFilter ref="A3:L90" xr:uid="{15FF1597-F2C0-4E2D-9101-BAAF03C21206}"/>
  <mergeCells count="6">
    <mergeCell ref="A92:C92"/>
    <mergeCell ref="O3:Q3"/>
    <mergeCell ref="A1:E2"/>
    <mergeCell ref="F1:L1"/>
    <mergeCell ref="F2:H2"/>
    <mergeCell ref="I2:L2"/>
  </mergeCells>
  <conditionalFormatting sqref="B3">
    <cfRule type="duplicateValues" dxfId="545" priority="107"/>
  </conditionalFormatting>
  <conditionalFormatting sqref="B4">
    <cfRule type="expression" dxfId="544" priority="145">
      <formula>K3=1</formula>
    </cfRule>
    <cfRule type="expression" dxfId="543" priority="146">
      <formula>L3=1</formula>
    </cfRule>
    <cfRule type="expression" dxfId="542" priority="144">
      <formula>J3=1</formula>
    </cfRule>
  </conditionalFormatting>
  <conditionalFormatting sqref="B4:B90">
    <cfRule type="expression" dxfId="541" priority="143" stopIfTrue="1">
      <formula>L4=1</formula>
    </cfRule>
    <cfRule type="expression" dxfId="540" priority="142" stopIfTrue="1">
      <formula>K4=1</formula>
    </cfRule>
    <cfRule type="expression" dxfId="539" priority="141" stopIfTrue="1">
      <formula>J4=1</formula>
    </cfRule>
  </conditionalFormatting>
  <conditionalFormatting sqref="B5">
    <cfRule type="expression" dxfId="538" priority="98">
      <formula>H4="Yes"</formula>
    </cfRule>
  </conditionalFormatting>
  <conditionalFormatting sqref="B13:B20">
    <cfRule type="duplicateValues" dxfId="537" priority="118"/>
  </conditionalFormatting>
  <conditionalFormatting sqref="B21">
    <cfRule type="duplicateValues" dxfId="536" priority="117"/>
  </conditionalFormatting>
  <conditionalFormatting sqref="B22:B26">
    <cfRule type="duplicateValues" dxfId="535" priority="116"/>
  </conditionalFormatting>
  <conditionalFormatting sqref="B28:B33">
    <cfRule type="duplicateValues" dxfId="534" priority="112"/>
  </conditionalFormatting>
  <conditionalFormatting sqref="B34:B39">
    <cfRule type="duplicateValues" dxfId="533" priority="111"/>
  </conditionalFormatting>
  <conditionalFormatting sqref="B40:B44">
    <cfRule type="duplicateValues" dxfId="532" priority="110"/>
  </conditionalFormatting>
  <conditionalFormatting sqref="B45:B52">
    <cfRule type="duplicateValues" dxfId="531" priority="115"/>
  </conditionalFormatting>
  <conditionalFormatting sqref="B53:B57">
    <cfRule type="duplicateValues" dxfId="530" priority="108"/>
  </conditionalFormatting>
  <conditionalFormatting sqref="B58:B65">
    <cfRule type="duplicateValues" dxfId="529" priority="101"/>
  </conditionalFormatting>
  <conditionalFormatting sqref="B66:B69">
    <cfRule type="duplicateValues" dxfId="528" priority="114"/>
  </conditionalFormatting>
  <conditionalFormatting sqref="B74:B79">
    <cfRule type="duplicateValues" dxfId="527" priority="314"/>
  </conditionalFormatting>
  <conditionalFormatting sqref="B80:B84">
    <cfRule type="duplicateValues" dxfId="526" priority="82"/>
  </conditionalFormatting>
  <conditionalFormatting sqref="B85:B90">
    <cfRule type="duplicateValues" dxfId="525" priority="109"/>
  </conditionalFormatting>
  <conditionalFormatting sqref="B91 B70:B73">
    <cfRule type="duplicateValues" dxfId="524" priority="306"/>
  </conditionalFormatting>
  <conditionalFormatting sqref="E3">
    <cfRule type="cellIs" dxfId="523" priority="105" operator="equal">
      <formula>"N"</formula>
    </cfRule>
    <cfRule type="cellIs" dxfId="522" priority="106" operator="equal">
      <formula>"Y"</formula>
    </cfRule>
  </conditionalFormatting>
  <conditionalFormatting sqref="F4:H91 P74:P84 R74:R84">
    <cfRule type="cellIs" dxfId="521" priority="89" operator="equal">
      <formula>"Maybe"</formula>
    </cfRule>
    <cfRule type="cellIs" dxfId="520" priority="88" operator="equal">
      <formula>"No"</formula>
    </cfRule>
    <cfRule type="cellIs" dxfId="519" priority="90" operator="equal">
      <formula>"Yes"</formula>
    </cfRule>
  </conditionalFormatting>
  <conditionalFormatting sqref="I5:J94">
    <cfRule type="cellIs" dxfId="518" priority="104" operator="equal">
      <formula>"Yes"</formula>
    </cfRule>
    <cfRule type="cellIs" dxfId="517" priority="103" operator="equal">
      <formula>"No"</formula>
    </cfRule>
    <cfRule type="cellIs" dxfId="516" priority="102" operator="equal">
      <formula>"Maybe"</formula>
    </cfRule>
  </conditionalFormatting>
  <conditionalFormatting sqref="M74:N84">
    <cfRule type="cellIs" dxfId="515" priority="87" operator="equal">
      <formula>"Yes"</formula>
    </cfRule>
    <cfRule type="cellIs" dxfId="514" priority="86" operator="equal">
      <formula>"Maybe"</formula>
    </cfRule>
    <cfRule type="cellIs" dxfId="513" priority="85" operator="equal">
      <formula>"No"</formula>
    </cfRule>
  </conditionalFormatting>
  <conditionalFormatting sqref="P12:P15">
    <cfRule type="expression" dxfId="512" priority="78" stopIfTrue="1">
      <formula>Z12=1</formula>
    </cfRule>
    <cfRule type="expression" dxfId="511" priority="77" stopIfTrue="1">
      <formula>Y12=1</formula>
    </cfRule>
    <cfRule type="expression" dxfId="510" priority="76" stopIfTrue="1">
      <formula>X12=1</formula>
    </cfRule>
  </conditionalFormatting>
  <conditionalFormatting sqref="P15">
    <cfRule type="duplicateValues" dxfId="509" priority="75"/>
  </conditionalFormatting>
  <conditionalFormatting sqref="P16">
    <cfRule type="expression" dxfId="508" priority="72" stopIfTrue="1">
      <formula>X16=1</formula>
    </cfRule>
    <cfRule type="expression" dxfId="507" priority="74" stopIfTrue="1">
      <formula>Z16=1</formula>
    </cfRule>
    <cfRule type="expression" dxfId="506" priority="73" stopIfTrue="1">
      <formula>Y16=1</formula>
    </cfRule>
    <cfRule type="duplicateValues" dxfId="505" priority="71"/>
  </conditionalFormatting>
  <conditionalFormatting sqref="P17:P20">
    <cfRule type="expression" dxfId="504" priority="70" stopIfTrue="1">
      <formula>Z17=1</formula>
    </cfRule>
    <cfRule type="expression" dxfId="503" priority="69" stopIfTrue="1">
      <formula>Y17=1</formula>
    </cfRule>
    <cfRule type="expression" dxfId="502" priority="68" stopIfTrue="1">
      <formula>X17=1</formula>
    </cfRule>
    <cfRule type="duplicateValues" dxfId="501" priority="67"/>
  </conditionalFormatting>
  <conditionalFormatting sqref="P21:P22">
    <cfRule type="expression" dxfId="500" priority="65" stopIfTrue="1">
      <formula>Y21=1</formula>
    </cfRule>
    <cfRule type="duplicateValues" dxfId="499" priority="63"/>
    <cfRule type="expression" dxfId="498" priority="64" stopIfTrue="1">
      <formula>X21=1</formula>
    </cfRule>
    <cfRule type="expression" dxfId="497" priority="66" stopIfTrue="1">
      <formula>Z21=1</formula>
    </cfRule>
  </conditionalFormatting>
  <conditionalFormatting sqref="P23">
    <cfRule type="expression" dxfId="496" priority="60" stopIfTrue="1">
      <formula>X23=1</formula>
    </cfRule>
    <cfRule type="expression" dxfId="495" priority="61" stopIfTrue="1">
      <formula>Y23=1</formula>
    </cfRule>
    <cfRule type="expression" dxfId="494" priority="62" stopIfTrue="1">
      <formula>Z23=1</formula>
    </cfRule>
    <cfRule type="duplicateValues" dxfId="493" priority="59"/>
  </conditionalFormatting>
  <conditionalFormatting sqref="P26:P27">
    <cfRule type="expression" dxfId="492" priority="55" stopIfTrue="1">
      <formula>Z26=1</formula>
    </cfRule>
    <cfRule type="expression" dxfId="491" priority="54" stopIfTrue="1">
      <formula>Y26=1</formula>
    </cfRule>
    <cfRule type="expression" dxfId="490" priority="53" stopIfTrue="1">
      <formula>X26=1</formula>
    </cfRule>
  </conditionalFormatting>
  <conditionalFormatting sqref="P27">
    <cfRule type="duplicateValues" dxfId="489" priority="52"/>
  </conditionalFormatting>
  <conditionalFormatting sqref="P28">
    <cfRule type="expression" dxfId="488" priority="51" stopIfTrue="1">
      <formula>Z28=1</formula>
    </cfRule>
    <cfRule type="expression" dxfId="487" priority="50" stopIfTrue="1">
      <formula>Y28=1</formula>
    </cfRule>
    <cfRule type="expression" dxfId="486" priority="49" stopIfTrue="1">
      <formula>X28=1</formula>
    </cfRule>
    <cfRule type="duplicateValues" dxfId="485" priority="48"/>
  </conditionalFormatting>
  <conditionalFormatting sqref="P29">
    <cfRule type="expression" dxfId="484" priority="47" stopIfTrue="1">
      <formula>Z29=1</formula>
    </cfRule>
    <cfRule type="expression" dxfId="483" priority="46" stopIfTrue="1">
      <formula>Y29=1</formula>
    </cfRule>
    <cfRule type="expression" dxfId="482" priority="45" stopIfTrue="1">
      <formula>X29=1</formula>
    </cfRule>
    <cfRule type="duplicateValues" dxfId="481" priority="44"/>
  </conditionalFormatting>
  <conditionalFormatting sqref="P30">
    <cfRule type="expression" dxfId="480" priority="43" stopIfTrue="1">
      <formula>Z30=1</formula>
    </cfRule>
    <cfRule type="expression" dxfId="479" priority="42" stopIfTrue="1">
      <formula>Y30=1</formula>
    </cfRule>
    <cfRule type="expression" dxfId="478" priority="41" stopIfTrue="1">
      <formula>X30=1</formula>
    </cfRule>
    <cfRule type="duplicateValues" dxfId="477" priority="40"/>
  </conditionalFormatting>
  <conditionalFormatting sqref="P31">
    <cfRule type="expression" dxfId="476" priority="38" stopIfTrue="1">
      <formula>Y31=1</formula>
    </cfRule>
    <cfRule type="expression" dxfId="475" priority="37" stopIfTrue="1">
      <formula>X31=1</formula>
    </cfRule>
    <cfRule type="duplicateValues" dxfId="474" priority="36"/>
    <cfRule type="expression" dxfId="473" priority="39" stopIfTrue="1">
      <formula>Z31=1</formula>
    </cfRule>
  </conditionalFormatting>
  <conditionalFormatting sqref="P32:P33">
    <cfRule type="expression" dxfId="472" priority="34" stopIfTrue="1">
      <formula>Y32=1</formula>
    </cfRule>
    <cfRule type="expression" dxfId="471" priority="33" stopIfTrue="1">
      <formula>X32=1</formula>
    </cfRule>
    <cfRule type="duplicateValues" dxfId="470" priority="32"/>
    <cfRule type="expression" dxfId="469" priority="35" stopIfTrue="1">
      <formula>Z32=1</formula>
    </cfRule>
  </conditionalFormatting>
  <conditionalFormatting sqref="P34">
    <cfRule type="expression" dxfId="468" priority="30" stopIfTrue="1">
      <formula>Z34=1</formula>
    </cfRule>
    <cfRule type="duplicateValues" dxfId="467" priority="31"/>
    <cfRule type="expression" dxfId="466" priority="29" stopIfTrue="1">
      <formula>Y34=1</formula>
    </cfRule>
    <cfRule type="expression" dxfId="465" priority="28" stopIfTrue="1">
      <formula>X34=1</formula>
    </cfRule>
  </conditionalFormatting>
  <conditionalFormatting sqref="P37:P38">
    <cfRule type="expression" dxfId="464" priority="24" stopIfTrue="1">
      <formula>Z37=1</formula>
    </cfRule>
    <cfRule type="expression" dxfId="463" priority="23" stopIfTrue="1">
      <formula>Y37=1</formula>
    </cfRule>
    <cfRule type="expression" dxfId="462" priority="22" stopIfTrue="1">
      <formula>X37=1</formula>
    </cfRule>
  </conditionalFormatting>
  <conditionalFormatting sqref="P38">
    <cfRule type="duplicateValues" dxfId="461" priority="21"/>
  </conditionalFormatting>
  <conditionalFormatting sqref="P39">
    <cfRule type="expression" dxfId="460" priority="20" stopIfTrue="1">
      <formula>Z39=1</formula>
    </cfRule>
    <cfRule type="expression" dxfId="459" priority="19" stopIfTrue="1">
      <formula>Y39=1</formula>
    </cfRule>
    <cfRule type="expression" dxfId="458" priority="18" stopIfTrue="1">
      <formula>X39=1</formula>
    </cfRule>
    <cfRule type="duplicateValues" dxfId="457" priority="17"/>
  </conditionalFormatting>
  <conditionalFormatting sqref="P40">
    <cfRule type="expression" dxfId="456" priority="14" stopIfTrue="1">
      <formula>X40=1</formula>
    </cfRule>
    <cfRule type="expression" dxfId="455" priority="16" stopIfTrue="1">
      <formula>Z40=1</formula>
    </cfRule>
    <cfRule type="expression" dxfId="454" priority="15" stopIfTrue="1">
      <formula>Y40=1</formula>
    </cfRule>
    <cfRule type="duplicateValues" dxfId="453" priority="13"/>
  </conditionalFormatting>
  <conditionalFormatting sqref="P41">
    <cfRule type="expression" dxfId="452" priority="12" stopIfTrue="1">
      <formula>Z41=1</formula>
    </cfRule>
    <cfRule type="expression" dxfId="451" priority="11" stopIfTrue="1">
      <formula>Y41=1</formula>
    </cfRule>
    <cfRule type="expression" dxfId="450" priority="10" stopIfTrue="1">
      <formula>X41=1</formula>
    </cfRule>
    <cfRule type="duplicateValues" dxfId="449" priority="9"/>
  </conditionalFormatting>
  <conditionalFormatting sqref="P42">
    <cfRule type="expression" dxfId="448" priority="8" stopIfTrue="1">
      <formula>Z42=1</formula>
    </cfRule>
    <cfRule type="expression" dxfId="447" priority="7" stopIfTrue="1">
      <formula>Y42=1</formula>
    </cfRule>
    <cfRule type="expression" dxfId="446" priority="6" stopIfTrue="1">
      <formula>X42=1</formula>
    </cfRule>
    <cfRule type="duplicateValues" dxfId="445" priority="5"/>
  </conditionalFormatting>
  <conditionalFormatting sqref="P43">
    <cfRule type="expression" dxfId="444" priority="2" stopIfTrue="1">
      <formula>X43=1</formula>
    </cfRule>
    <cfRule type="expression" dxfId="443" priority="3" stopIfTrue="1">
      <formula>Y43=1</formula>
    </cfRule>
    <cfRule type="duplicateValues" dxfId="442" priority="1"/>
    <cfRule type="expression" dxfId="441" priority="4" stopIfTrue="1">
      <formula>Z43=1</formula>
    </cfRule>
  </conditionalFormatting>
  <dataValidations count="1">
    <dataValidation type="list" showInputMessage="1" showErrorMessage="1" sqref="M74:N84 G74:G90" xr:uid="{2EA296A3-F9FB-4B23-84A1-793575ED20C5}">
      <formula1>"Yes,Maybe,No"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7E6AA-0B7A-4DE2-9223-9B4D6BFF3292}">
  <sheetPr codeName="Sheet7">
    <tabColor theme="3" tint="0.89999084444715716"/>
    <pageSetUpPr fitToPage="1"/>
  </sheetPr>
  <dimension ref="A1:X225"/>
  <sheetViews>
    <sheetView topLeftCell="A2" zoomScale="87" zoomScaleNormal="85" workbookViewId="0">
      <selection activeCell="E2" sqref="E2"/>
    </sheetView>
  </sheetViews>
  <sheetFormatPr defaultRowHeight="16" x14ac:dyDescent="0.35"/>
  <cols>
    <col min="2" max="2" width="21.453125" style="31" customWidth="1"/>
    <col min="3" max="3" width="25.7265625" customWidth="1"/>
    <col min="4" max="4" width="26.54296875" customWidth="1"/>
    <col min="5" max="5" width="69" style="144" bestFit="1" customWidth="1"/>
    <col min="6" max="6" width="22.1796875" customWidth="1"/>
    <col min="7" max="7" width="18.81640625" customWidth="1"/>
    <col min="8" max="8" width="20.453125" customWidth="1"/>
    <col min="9" max="9" width="16.453125" customWidth="1"/>
    <col min="10" max="10" width="17" customWidth="1"/>
    <col min="11" max="11" width="16.81640625" customWidth="1"/>
    <col min="12" max="12" width="13.81640625" customWidth="1"/>
    <col min="13" max="13" width="13.26953125" customWidth="1"/>
    <col min="14" max="14" width="13.1796875" customWidth="1"/>
    <col min="15" max="15" width="13.81640625" customWidth="1"/>
    <col min="16" max="16" width="15.7265625" customWidth="1"/>
    <col min="17" max="17" width="18.81640625" customWidth="1"/>
    <col min="18" max="18" width="16.81640625" customWidth="1"/>
    <col min="19" max="20" width="13.81640625" customWidth="1"/>
    <col min="21" max="21" width="12.1796875" customWidth="1"/>
    <col min="22" max="22" width="21.453125" customWidth="1"/>
    <col min="23" max="23" width="26.7265625" style="11" bestFit="1" customWidth="1"/>
  </cols>
  <sheetData>
    <row r="1" spans="1:23" ht="41.5" customHeight="1" x14ac:dyDescent="0.35">
      <c r="B1" s="474" t="s">
        <v>3309</v>
      </c>
      <c r="C1" s="475"/>
      <c r="D1" s="475"/>
      <c r="E1" s="476"/>
      <c r="F1" s="472"/>
      <c r="G1" s="473"/>
      <c r="H1" s="473"/>
      <c r="I1" s="473"/>
      <c r="J1" s="473"/>
      <c r="K1" s="473"/>
      <c r="L1" s="473"/>
      <c r="M1" s="473"/>
      <c r="N1" s="473"/>
      <c r="O1" s="473"/>
      <c r="P1" s="473"/>
      <c r="Q1" s="473"/>
      <c r="R1" s="473"/>
      <c r="S1" s="473"/>
      <c r="T1" s="473"/>
      <c r="U1" s="473"/>
      <c r="V1" s="473"/>
      <c r="W1" s="473"/>
    </row>
    <row r="2" spans="1:23" ht="62" customHeight="1" x14ac:dyDescent="0.35">
      <c r="A2" s="372" t="s">
        <v>34</v>
      </c>
      <c r="B2" s="147" t="s">
        <v>491</v>
      </c>
      <c r="C2" s="147" t="s">
        <v>492</v>
      </c>
      <c r="D2" s="147" t="s">
        <v>3166</v>
      </c>
      <c r="E2" s="363" t="s">
        <v>493</v>
      </c>
      <c r="F2" s="145" t="s">
        <v>494</v>
      </c>
      <c r="G2" s="146" t="s">
        <v>495</v>
      </c>
      <c r="H2" s="146" t="s">
        <v>496</v>
      </c>
      <c r="I2" s="146" t="s">
        <v>497</v>
      </c>
      <c r="J2" s="146" t="s">
        <v>498</v>
      </c>
      <c r="K2" s="146" t="s">
        <v>499</v>
      </c>
      <c r="L2" s="146" t="s">
        <v>500</v>
      </c>
      <c r="M2" s="146" t="s">
        <v>501</v>
      </c>
      <c r="N2" s="146" t="s">
        <v>502</v>
      </c>
      <c r="O2" s="146" t="s">
        <v>503</v>
      </c>
      <c r="P2" s="146" t="s">
        <v>504</v>
      </c>
      <c r="Q2" s="146" t="s">
        <v>505</v>
      </c>
      <c r="R2" s="146" t="s">
        <v>506</v>
      </c>
      <c r="S2" s="146" t="s">
        <v>507</v>
      </c>
      <c r="T2" s="146" t="s">
        <v>508</v>
      </c>
      <c r="U2" s="146" t="s">
        <v>509</v>
      </c>
      <c r="V2" s="146" t="s">
        <v>510</v>
      </c>
      <c r="W2" s="253" t="s">
        <v>511</v>
      </c>
    </row>
    <row r="3" spans="1:23" ht="120" customHeight="1" x14ac:dyDescent="0.35">
      <c r="A3" s="41">
        <v>1</v>
      </c>
      <c r="B3" s="371" t="str">
        <f>+VLOOKUP(C3,'Applications List'!$B$4:$E$181,4,FALSE)</f>
        <v>Operations</v>
      </c>
      <c r="C3" s="133" t="s">
        <v>51</v>
      </c>
      <c r="D3" s="132" t="s">
        <v>145</v>
      </c>
      <c r="E3" s="135" t="s">
        <v>512</v>
      </c>
      <c r="F3" s="136" t="s">
        <v>513</v>
      </c>
      <c r="G3" s="127" t="s">
        <v>514</v>
      </c>
      <c r="H3" s="128" t="s">
        <v>515</v>
      </c>
      <c r="I3" s="128" t="s">
        <v>516</v>
      </c>
      <c r="J3" s="128" t="s">
        <v>517</v>
      </c>
      <c r="K3" s="128" t="s">
        <v>518</v>
      </c>
      <c r="L3" s="127" t="s">
        <v>519</v>
      </c>
      <c r="M3" s="128" t="s">
        <v>520</v>
      </c>
      <c r="N3" s="128" t="s">
        <v>521</v>
      </c>
      <c r="O3" s="128" t="s">
        <v>522</v>
      </c>
      <c r="P3" s="128" t="s">
        <v>523</v>
      </c>
      <c r="Q3" s="128" t="s">
        <v>524</v>
      </c>
      <c r="R3" s="137" t="s">
        <v>525</v>
      </c>
      <c r="S3" s="128" t="s">
        <v>526</v>
      </c>
      <c r="T3" s="138" t="s">
        <v>527</v>
      </c>
      <c r="U3" s="138" t="s">
        <v>528</v>
      </c>
      <c r="W3" s="17">
        <v>2003</v>
      </c>
    </row>
    <row r="4" spans="1:23" ht="105" customHeight="1" x14ac:dyDescent="0.35">
      <c r="A4" s="41">
        <v>2</v>
      </c>
      <c r="B4" s="371" t="str">
        <f>+VLOOKUP(C4,'Applications List'!$B$4:$E$181,4,FALSE)</f>
        <v>Operations</v>
      </c>
      <c r="C4" s="133" t="s">
        <v>51</v>
      </c>
      <c r="D4" s="132" t="s">
        <v>145</v>
      </c>
      <c r="E4" s="135" t="s">
        <v>529</v>
      </c>
      <c r="F4" s="136" t="s">
        <v>530</v>
      </c>
      <c r="G4" s="128" t="s">
        <v>531</v>
      </c>
      <c r="H4" s="128" t="s">
        <v>532</v>
      </c>
      <c r="I4" s="128" t="s">
        <v>533</v>
      </c>
      <c r="J4" s="128" t="s">
        <v>534</v>
      </c>
      <c r="K4" s="128" t="s">
        <v>535</v>
      </c>
      <c r="L4" s="127" t="s">
        <v>519</v>
      </c>
      <c r="M4" s="128" t="s">
        <v>536</v>
      </c>
      <c r="N4" s="128" t="s">
        <v>537</v>
      </c>
      <c r="O4" s="128" t="s">
        <v>538</v>
      </c>
      <c r="P4" s="128" t="s">
        <v>539</v>
      </c>
      <c r="Q4" s="128" t="s">
        <v>540</v>
      </c>
      <c r="R4" s="128" t="s">
        <v>541</v>
      </c>
      <c r="S4" s="128" t="s">
        <v>542</v>
      </c>
      <c r="T4" s="138" t="s">
        <v>543</v>
      </c>
      <c r="U4" s="138" t="s">
        <v>544</v>
      </c>
      <c r="W4" s="17">
        <v>2013</v>
      </c>
    </row>
    <row r="5" spans="1:23" ht="120" customHeight="1" x14ac:dyDescent="0.35">
      <c r="A5" s="41">
        <v>3</v>
      </c>
      <c r="B5" s="371" t="str">
        <f>+VLOOKUP(C5,'Applications List'!$B$4:$E$181,4,FALSE)</f>
        <v>Operations</v>
      </c>
      <c r="C5" s="133" t="s">
        <v>51</v>
      </c>
      <c r="D5" s="132" t="s">
        <v>145</v>
      </c>
      <c r="E5" s="135" t="s">
        <v>545</v>
      </c>
      <c r="F5" s="136" t="s">
        <v>546</v>
      </c>
      <c r="G5" s="128"/>
      <c r="H5" s="128" t="s">
        <v>547</v>
      </c>
      <c r="I5" s="128" t="s">
        <v>533</v>
      </c>
      <c r="J5" s="128" t="s">
        <v>517</v>
      </c>
      <c r="K5" s="128" t="s">
        <v>548</v>
      </c>
      <c r="L5" s="127" t="s">
        <v>519</v>
      </c>
      <c r="M5" s="128" t="s">
        <v>549</v>
      </c>
      <c r="N5" s="128" t="s">
        <v>550</v>
      </c>
      <c r="O5" s="128" t="s">
        <v>551</v>
      </c>
      <c r="P5" s="128" t="s">
        <v>552</v>
      </c>
      <c r="Q5" s="128" t="s">
        <v>553</v>
      </c>
      <c r="R5" s="128" t="s">
        <v>554</v>
      </c>
      <c r="S5" s="128" t="s">
        <v>555</v>
      </c>
      <c r="T5" s="138" t="s">
        <v>556</v>
      </c>
      <c r="U5" s="138" t="s">
        <v>557</v>
      </c>
      <c r="W5" s="17">
        <v>2015</v>
      </c>
    </row>
    <row r="6" spans="1:23" ht="26.5" customHeight="1" x14ac:dyDescent="0.35">
      <c r="A6" s="41">
        <v>4</v>
      </c>
      <c r="B6" s="371" t="str">
        <f>+VLOOKUP(C6,'Applications List'!$B$4:$E$181,4,FALSE)</f>
        <v>Operations</v>
      </c>
      <c r="C6" s="133" t="s">
        <v>51</v>
      </c>
      <c r="D6" s="132" t="s">
        <v>148</v>
      </c>
      <c r="E6" s="135" t="s">
        <v>558</v>
      </c>
      <c r="F6" s="136" t="s">
        <v>559</v>
      </c>
      <c r="H6" s="128" t="s">
        <v>560</v>
      </c>
      <c r="I6" s="128" t="s">
        <v>3195</v>
      </c>
      <c r="J6" s="128" t="s">
        <v>561</v>
      </c>
      <c r="K6" s="128" t="s">
        <v>562</v>
      </c>
      <c r="L6" s="127" t="s">
        <v>519</v>
      </c>
      <c r="M6" s="128" t="s">
        <v>563</v>
      </c>
      <c r="N6" s="128" t="s">
        <v>564</v>
      </c>
      <c r="O6" s="128" t="s">
        <v>3196</v>
      </c>
      <c r="P6" s="128" t="s">
        <v>565</v>
      </c>
      <c r="Q6" s="128" t="s">
        <v>566</v>
      </c>
      <c r="R6" s="128" t="s">
        <v>567</v>
      </c>
      <c r="S6" s="128" t="s">
        <v>568</v>
      </c>
      <c r="T6" s="227" t="s">
        <v>569</v>
      </c>
      <c r="W6" s="17">
        <v>2023</v>
      </c>
    </row>
    <row r="7" spans="1:23" ht="20.5" customHeight="1" x14ac:dyDescent="0.35">
      <c r="A7" s="41">
        <v>5</v>
      </c>
      <c r="B7" s="371" t="str">
        <f>+VLOOKUP(C7,'Applications List'!$B$4:$E$181,4,FALSE)</f>
        <v>Operations</v>
      </c>
      <c r="C7" s="133" t="s">
        <v>51</v>
      </c>
      <c r="D7" s="132" t="s">
        <v>151</v>
      </c>
      <c r="E7" s="135" t="s">
        <v>570</v>
      </c>
      <c r="F7" s="136" t="s">
        <v>3197</v>
      </c>
      <c r="G7" t="s">
        <v>546</v>
      </c>
      <c r="H7" s="128" t="s">
        <v>571</v>
      </c>
      <c r="I7" s="128" t="s">
        <v>3198</v>
      </c>
      <c r="J7" s="128" t="s">
        <v>572</v>
      </c>
      <c r="K7" s="128" t="s">
        <v>573</v>
      </c>
      <c r="L7" s="127" t="s">
        <v>519</v>
      </c>
      <c r="M7" s="128" t="s">
        <v>574</v>
      </c>
      <c r="N7" s="128" t="s">
        <v>575</v>
      </c>
      <c r="O7" s="128" t="s">
        <v>576</v>
      </c>
      <c r="P7" s="128" t="s">
        <v>577</v>
      </c>
      <c r="Q7" s="128" t="s">
        <v>578</v>
      </c>
      <c r="R7" s="128" t="s">
        <v>579</v>
      </c>
      <c r="S7" s="128" t="s">
        <v>580</v>
      </c>
      <c r="T7" s="227" t="s">
        <v>581</v>
      </c>
      <c r="U7" s="227" t="s">
        <v>582</v>
      </c>
      <c r="W7" s="17">
        <v>2019</v>
      </c>
    </row>
    <row r="8" spans="1:23" ht="20.5" customHeight="1" x14ac:dyDescent="0.35">
      <c r="A8" s="41">
        <v>6</v>
      </c>
      <c r="B8" s="371" t="str">
        <f>+VLOOKUP(C8,'Applications List'!$B$4:$E$181,4,FALSE)</f>
        <v>Operations</v>
      </c>
      <c r="C8" s="133" t="s">
        <v>51</v>
      </c>
      <c r="D8" s="133" t="s">
        <v>151</v>
      </c>
      <c r="E8" s="135" t="s">
        <v>583</v>
      </c>
      <c r="F8" s="136" t="s">
        <v>584</v>
      </c>
      <c r="H8" s="128" t="s">
        <v>585</v>
      </c>
      <c r="I8" s="128" t="s">
        <v>533</v>
      </c>
      <c r="J8" s="128" t="s">
        <v>586</v>
      </c>
      <c r="K8" s="128" t="s">
        <v>587</v>
      </c>
      <c r="L8" s="127" t="s">
        <v>519</v>
      </c>
      <c r="M8" s="128" t="s">
        <v>3199</v>
      </c>
      <c r="N8" s="128" t="s">
        <v>589</v>
      </c>
      <c r="O8" s="128" t="s">
        <v>590</v>
      </c>
      <c r="P8" s="128" t="s">
        <v>591</v>
      </c>
      <c r="Q8" s="128" t="s">
        <v>592</v>
      </c>
      <c r="R8" s="128" t="s">
        <v>593</v>
      </c>
      <c r="S8" s="128" t="s">
        <v>594</v>
      </c>
      <c r="T8" s="227" t="s">
        <v>595</v>
      </c>
      <c r="W8" s="17">
        <v>2019</v>
      </c>
    </row>
    <row r="9" spans="1:23" ht="23.5" customHeight="1" x14ac:dyDescent="0.35">
      <c r="A9" s="41">
        <v>7</v>
      </c>
      <c r="B9" s="371" t="str">
        <f>+VLOOKUP(C9,'Applications List'!$B$4:$E$181,4,FALSE)</f>
        <v>Operations</v>
      </c>
      <c r="C9" s="133" t="s">
        <v>51</v>
      </c>
      <c r="D9" s="133" t="s">
        <v>596</v>
      </c>
      <c r="E9" s="135" t="s">
        <v>597</v>
      </c>
      <c r="F9" s="136" t="s">
        <v>3200</v>
      </c>
      <c r="G9" s="128" t="s">
        <v>598</v>
      </c>
      <c r="H9" s="128" t="s">
        <v>599</v>
      </c>
      <c r="I9" s="128" t="s">
        <v>600</v>
      </c>
      <c r="J9" s="128" t="s">
        <v>586</v>
      </c>
      <c r="K9" s="128" t="s">
        <v>601</v>
      </c>
      <c r="L9" s="127" t="s">
        <v>519</v>
      </c>
      <c r="M9" s="128" t="s">
        <v>549</v>
      </c>
      <c r="N9" s="128" t="s">
        <v>589</v>
      </c>
      <c r="O9" s="128" t="s">
        <v>602</v>
      </c>
      <c r="P9" s="128" t="s">
        <v>603</v>
      </c>
      <c r="Q9" s="128" t="s">
        <v>604</v>
      </c>
      <c r="R9" s="128" t="s">
        <v>605</v>
      </c>
      <c r="S9" s="128" t="s">
        <v>606</v>
      </c>
      <c r="T9" s="227" t="s">
        <v>3201</v>
      </c>
      <c r="U9" s="227" t="s">
        <v>607</v>
      </c>
      <c r="W9" s="17">
        <v>2012</v>
      </c>
    </row>
    <row r="10" spans="1:23" ht="24" customHeight="1" x14ac:dyDescent="0.35">
      <c r="A10" s="41">
        <v>8</v>
      </c>
      <c r="B10" s="371" t="str">
        <f>+VLOOKUP(C10,'Applications List'!$B$4:$E$181,4,FALSE)</f>
        <v>Operations</v>
      </c>
      <c r="C10" s="133" t="s">
        <v>51</v>
      </c>
      <c r="D10" s="132" t="s">
        <v>154</v>
      </c>
      <c r="E10" s="135" t="s">
        <v>608</v>
      </c>
      <c r="F10" s="136" t="s">
        <v>3203</v>
      </c>
      <c r="H10" s="128" t="s">
        <v>609</v>
      </c>
      <c r="I10" s="128" t="s">
        <v>3153</v>
      </c>
      <c r="J10" s="127" t="s">
        <v>572</v>
      </c>
      <c r="K10" s="128" t="s">
        <v>610</v>
      </c>
      <c r="L10" s="127" t="s">
        <v>519</v>
      </c>
      <c r="M10" s="128" t="s">
        <v>3202</v>
      </c>
      <c r="N10" s="128" t="s">
        <v>575</v>
      </c>
      <c r="O10" s="128" t="s">
        <v>611</v>
      </c>
      <c r="P10" s="128" t="s">
        <v>612</v>
      </c>
      <c r="Q10" s="139" t="s">
        <v>613</v>
      </c>
      <c r="R10" s="128" t="s">
        <v>614</v>
      </c>
      <c r="S10" s="128" t="s">
        <v>615</v>
      </c>
      <c r="T10" s="227" t="s">
        <v>616</v>
      </c>
      <c r="U10" s="227" t="s">
        <v>617</v>
      </c>
      <c r="W10" s="17">
        <v>2020</v>
      </c>
    </row>
    <row r="11" spans="1:23" ht="22.5" customHeight="1" x14ac:dyDescent="0.35">
      <c r="A11" s="41">
        <v>9</v>
      </c>
      <c r="B11" s="371" t="str">
        <f>+VLOOKUP(C11,'Applications List'!$B$4:$E$181,4,FALSE)</f>
        <v>Operations</v>
      </c>
      <c r="C11" s="133" t="s">
        <v>51</v>
      </c>
      <c r="D11" s="132" t="s">
        <v>154</v>
      </c>
      <c r="E11" s="135" t="s">
        <v>618</v>
      </c>
      <c r="F11" s="136" t="s">
        <v>3205</v>
      </c>
      <c r="G11" s="128" t="s">
        <v>3204</v>
      </c>
      <c r="H11" s="128" t="s">
        <v>620</v>
      </c>
      <c r="I11" s="128" t="s">
        <v>1486</v>
      </c>
      <c r="J11" s="128" t="s">
        <v>621</v>
      </c>
      <c r="K11" s="128" t="s">
        <v>622</v>
      </c>
      <c r="L11" s="127" t="s">
        <v>519</v>
      </c>
      <c r="M11" s="128" t="s">
        <v>549</v>
      </c>
      <c r="N11" s="128" t="s">
        <v>623</v>
      </c>
      <c r="O11" s="128" t="s">
        <v>624</v>
      </c>
      <c r="P11" s="128" t="s">
        <v>625</v>
      </c>
      <c r="Q11" s="128" t="s">
        <v>626</v>
      </c>
      <c r="R11" s="128" t="s">
        <v>627</v>
      </c>
      <c r="S11" s="128" t="s">
        <v>628</v>
      </c>
      <c r="T11" s="227" t="s">
        <v>629</v>
      </c>
      <c r="U11" s="227" t="s">
        <v>630</v>
      </c>
      <c r="W11" s="17">
        <v>2021</v>
      </c>
    </row>
    <row r="12" spans="1:23" ht="25" customHeight="1" x14ac:dyDescent="0.35">
      <c r="A12" s="41">
        <v>10</v>
      </c>
      <c r="B12" s="371" t="str">
        <f>+VLOOKUP(C12,'Applications List'!$B$4:$E$181,4,FALSE)</f>
        <v>Operations</v>
      </c>
      <c r="C12" s="133" t="s">
        <v>51</v>
      </c>
      <c r="D12" s="132" t="s">
        <v>154</v>
      </c>
      <c r="E12" s="135" t="s">
        <v>631</v>
      </c>
      <c r="F12" s="128" t="s">
        <v>632</v>
      </c>
      <c r="G12" t="s">
        <v>3206</v>
      </c>
      <c r="H12" s="128" t="s">
        <v>633</v>
      </c>
      <c r="I12" s="128" t="s">
        <v>3207</v>
      </c>
      <c r="J12" s="128" t="s">
        <v>534</v>
      </c>
      <c r="K12" s="128" t="s">
        <v>634</v>
      </c>
      <c r="L12" s="127" t="s">
        <v>519</v>
      </c>
      <c r="M12" s="128" t="s">
        <v>588</v>
      </c>
      <c r="N12" s="128" t="s">
        <v>635</v>
      </c>
      <c r="O12" s="139" t="s">
        <v>636</v>
      </c>
      <c r="P12" s="128" t="s">
        <v>637</v>
      </c>
      <c r="Q12" s="128" t="s">
        <v>638</v>
      </c>
      <c r="R12" s="128" t="s">
        <v>639</v>
      </c>
      <c r="S12" s="128" t="s">
        <v>640</v>
      </c>
      <c r="T12" s="227" t="s">
        <v>641</v>
      </c>
      <c r="U12" s="227" t="s">
        <v>642</v>
      </c>
      <c r="W12" s="17">
        <v>2020</v>
      </c>
    </row>
    <row r="13" spans="1:23" ht="135" customHeight="1" x14ac:dyDescent="0.35">
      <c r="A13" s="41">
        <v>11</v>
      </c>
      <c r="B13" s="371" t="str">
        <f>+VLOOKUP(C13,'Applications List'!$B$4:$E$181,4,FALSE)</f>
        <v>Operations</v>
      </c>
      <c r="C13" s="133" t="s">
        <v>51</v>
      </c>
      <c r="D13" s="132" t="s">
        <v>157</v>
      </c>
      <c r="E13" s="135" t="s">
        <v>643</v>
      </c>
      <c r="F13" s="136" t="s">
        <v>644</v>
      </c>
      <c r="H13" s="128" t="s">
        <v>645</v>
      </c>
      <c r="I13" s="128" t="s">
        <v>533</v>
      </c>
      <c r="J13" s="128" t="s">
        <v>534</v>
      </c>
      <c r="K13" s="128" t="s">
        <v>646</v>
      </c>
      <c r="L13" s="127" t="s">
        <v>519</v>
      </c>
      <c r="M13" s="128" t="s">
        <v>647</v>
      </c>
      <c r="N13" s="128" t="s">
        <v>589</v>
      </c>
      <c r="O13" s="128" t="s">
        <v>648</v>
      </c>
      <c r="P13" s="128" t="s">
        <v>649</v>
      </c>
      <c r="Q13" s="128" t="s">
        <v>650</v>
      </c>
      <c r="R13" s="128" t="s">
        <v>651</v>
      </c>
      <c r="S13" s="128" t="s">
        <v>652</v>
      </c>
      <c r="T13" s="138" t="s">
        <v>653</v>
      </c>
      <c r="U13" s="138" t="s">
        <v>654</v>
      </c>
      <c r="W13" s="17">
        <v>2017</v>
      </c>
    </row>
    <row r="14" spans="1:23" ht="180" customHeight="1" x14ac:dyDescent="0.35">
      <c r="A14" s="41">
        <v>12</v>
      </c>
      <c r="B14" s="371" t="str">
        <f>+VLOOKUP(C14,'Applications List'!$B$4:$E$181,4,FALSE)</f>
        <v>Operations</v>
      </c>
      <c r="C14" s="133" t="s">
        <v>51</v>
      </c>
      <c r="D14" s="132" t="s">
        <v>157</v>
      </c>
      <c r="E14" s="135" t="s">
        <v>655</v>
      </c>
      <c r="F14" s="136" t="s">
        <v>656</v>
      </c>
      <c r="G14" s="128" t="s">
        <v>657</v>
      </c>
      <c r="H14" s="128" t="s">
        <v>658</v>
      </c>
      <c r="I14" s="128" t="s">
        <v>533</v>
      </c>
      <c r="J14" s="128" t="s">
        <v>659</v>
      </c>
      <c r="K14" s="128" t="s">
        <v>660</v>
      </c>
      <c r="L14" s="127" t="s">
        <v>519</v>
      </c>
      <c r="M14" s="128" t="s">
        <v>661</v>
      </c>
      <c r="N14" s="128" t="s">
        <v>662</v>
      </c>
      <c r="O14" s="128" t="s">
        <v>663</v>
      </c>
      <c r="P14" s="128" t="s">
        <v>664</v>
      </c>
      <c r="Q14" s="128" t="s">
        <v>665</v>
      </c>
      <c r="R14" s="128" t="s">
        <v>666</v>
      </c>
      <c r="S14" s="128" t="s">
        <v>667</v>
      </c>
      <c r="T14" s="138" t="s">
        <v>668</v>
      </c>
      <c r="U14" s="138" t="s">
        <v>669</v>
      </c>
      <c r="W14" s="17">
        <v>2017</v>
      </c>
    </row>
    <row r="15" spans="1:23" ht="29.15" customHeight="1" x14ac:dyDescent="0.35">
      <c r="A15" s="41">
        <v>13</v>
      </c>
      <c r="B15" s="371" t="str">
        <f>+VLOOKUP(C15,'Applications List'!$B$4:$E$181,4,FALSE)</f>
        <v>Operations</v>
      </c>
      <c r="C15" s="133" t="s">
        <v>51</v>
      </c>
      <c r="D15" s="132" t="s">
        <v>160</v>
      </c>
      <c r="E15" s="135" t="s">
        <v>670</v>
      </c>
      <c r="F15" s="128" t="s">
        <v>670</v>
      </c>
      <c r="G15" s="128" t="s">
        <v>3180</v>
      </c>
      <c r="H15" s="128" t="s">
        <v>3181</v>
      </c>
      <c r="I15" s="128" t="s">
        <v>600</v>
      </c>
      <c r="J15" s="128" t="s">
        <v>659</v>
      </c>
      <c r="K15" s="128" t="s">
        <v>3183</v>
      </c>
      <c r="L15" s="127" t="s">
        <v>519</v>
      </c>
      <c r="M15" s="128" t="s">
        <v>563</v>
      </c>
      <c r="N15" s="128" t="s">
        <v>671</v>
      </c>
      <c r="O15" s="128" t="s">
        <v>672</v>
      </c>
      <c r="P15" s="128" t="s">
        <v>3182</v>
      </c>
      <c r="Q15" s="128" t="s">
        <v>3184</v>
      </c>
      <c r="R15" s="128" t="s">
        <v>3185</v>
      </c>
      <c r="S15" s="128" t="s">
        <v>3188</v>
      </c>
      <c r="T15" s="227" t="s">
        <v>3186</v>
      </c>
      <c r="U15" s="227" t="s">
        <v>3187</v>
      </c>
      <c r="W15" s="17">
        <v>2018</v>
      </c>
    </row>
    <row r="16" spans="1:23" ht="29.15" customHeight="1" x14ac:dyDescent="0.35">
      <c r="A16" s="41">
        <v>14</v>
      </c>
      <c r="B16" s="371" t="str">
        <f>+VLOOKUP(C16,'Applications List'!$B$4:$E$181,4,FALSE)</f>
        <v>Operations</v>
      </c>
      <c r="C16" s="133" t="s">
        <v>51</v>
      </c>
      <c r="D16" s="132" t="s">
        <v>160</v>
      </c>
      <c r="E16" s="135" t="s">
        <v>3179</v>
      </c>
      <c r="F16" s="128" t="s">
        <v>670</v>
      </c>
      <c r="G16" s="128" t="s">
        <v>3189</v>
      </c>
      <c r="H16" s="128" t="s">
        <v>3192</v>
      </c>
      <c r="I16" s="128" t="s">
        <v>3191</v>
      </c>
      <c r="J16" s="128" t="s">
        <v>659</v>
      </c>
      <c r="K16" s="128" t="s">
        <v>3183</v>
      </c>
      <c r="L16" s="127" t="s">
        <v>519</v>
      </c>
      <c r="M16" s="128" t="s">
        <v>563</v>
      </c>
      <c r="N16" s="128" t="s">
        <v>671</v>
      </c>
      <c r="O16" s="128" t="s">
        <v>672</v>
      </c>
      <c r="P16" s="128" t="s">
        <v>673</v>
      </c>
      <c r="Q16" s="128" t="s">
        <v>674</v>
      </c>
      <c r="R16" s="128" t="s">
        <v>3193</v>
      </c>
      <c r="S16" s="128" t="s">
        <v>3194</v>
      </c>
      <c r="T16" s="227" t="s">
        <v>675</v>
      </c>
      <c r="U16" s="227" t="s">
        <v>3190</v>
      </c>
      <c r="W16" s="17">
        <v>2019</v>
      </c>
    </row>
    <row r="17" spans="1:23" ht="23.5" customHeight="1" x14ac:dyDescent="0.35">
      <c r="A17" s="41">
        <v>15</v>
      </c>
      <c r="B17" s="371" t="str">
        <f>+VLOOKUP(C17,'Applications List'!$B$4:$E$181,4,FALSE)</f>
        <v>Operations</v>
      </c>
      <c r="C17" s="133" t="s">
        <v>51</v>
      </c>
      <c r="D17" s="132" t="s">
        <v>160</v>
      </c>
      <c r="E17" s="135" t="s">
        <v>676</v>
      </c>
      <c r="F17" s="136" t="s">
        <v>3208</v>
      </c>
      <c r="G17" s="137"/>
      <c r="H17" s="128" t="s">
        <v>677</v>
      </c>
      <c r="I17" s="128" t="s">
        <v>678</v>
      </c>
      <c r="J17" s="128" t="s">
        <v>679</v>
      </c>
      <c r="K17" s="128" t="s">
        <v>680</v>
      </c>
      <c r="L17" s="127" t="s">
        <v>519</v>
      </c>
      <c r="M17" s="128" t="s">
        <v>3199</v>
      </c>
      <c r="N17" s="128" t="s">
        <v>681</v>
      </c>
      <c r="O17" s="128" t="s">
        <v>682</v>
      </c>
      <c r="P17" s="128" t="s">
        <v>683</v>
      </c>
      <c r="Q17" s="128" t="s">
        <v>684</v>
      </c>
      <c r="R17" s="128" t="s">
        <v>685</v>
      </c>
      <c r="S17" s="128" t="s">
        <v>686</v>
      </c>
      <c r="T17" s="227" t="s">
        <v>687</v>
      </c>
      <c r="U17" s="227" t="s">
        <v>688</v>
      </c>
      <c r="W17" s="17">
        <v>2018</v>
      </c>
    </row>
    <row r="18" spans="1:23" ht="35.5" customHeight="1" x14ac:dyDescent="0.35">
      <c r="A18" s="41">
        <v>16</v>
      </c>
      <c r="B18" s="371" t="str">
        <f>+VLOOKUP(C18,'Applications List'!$B$4:$E$181,4,FALSE)</f>
        <v>Operations</v>
      </c>
      <c r="C18" s="133" t="s">
        <v>51</v>
      </c>
      <c r="D18" s="132" t="s">
        <v>596</v>
      </c>
      <c r="E18" s="135" t="s">
        <v>689</v>
      </c>
      <c r="F18" s="136" t="s">
        <v>3210</v>
      </c>
      <c r="G18" s="128" t="s">
        <v>3211</v>
      </c>
      <c r="H18" s="128" t="s">
        <v>690</v>
      </c>
      <c r="I18" s="128" t="s">
        <v>3212</v>
      </c>
      <c r="J18" s="128" t="s">
        <v>659</v>
      </c>
      <c r="K18" s="128" t="s">
        <v>691</v>
      </c>
      <c r="L18" s="127" t="s">
        <v>519</v>
      </c>
      <c r="M18" s="128" t="s">
        <v>3209</v>
      </c>
      <c r="N18" s="128" t="s">
        <v>692</v>
      </c>
      <c r="O18" s="128" t="s">
        <v>693</v>
      </c>
      <c r="P18" s="128" t="s">
        <v>694</v>
      </c>
      <c r="Q18" s="128" t="s">
        <v>695</v>
      </c>
      <c r="R18" s="128" t="s">
        <v>696</v>
      </c>
      <c r="S18" s="128" t="s">
        <v>697</v>
      </c>
      <c r="T18" s="233" t="s">
        <v>698</v>
      </c>
      <c r="U18" s="233" t="s">
        <v>699</v>
      </c>
      <c r="W18" s="17">
        <v>2017</v>
      </c>
    </row>
    <row r="19" spans="1:23" ht="135" customHeight="1" x14ac:dyDescent="0.35">
      <c r="A19" s="41">
        <v>17</v>
      </c>
      <c r="B19" s="371" t="str">
        <f>+VLOOKUP(C19,'Applications List'!$B$4:$E$181,4,FALSE)</f>
        <v>Communication and Engagement</v>
      </c>
      <c r="C19" s="133" t="s">
        <v>57</v>
      </c>
      <c r="D19" s="132" t="s">
        <v>183</v>
      </c>
      <c r="E19" s="135" t="s">
        <v>700</v>
      </c>
      <c r="F19" s="136" t="s">
        <v>701</v>
      </c>
      <c r="G19" s="128" t="s">
        <v>702</v>
      </c>
      <c r="H19" s="128" t="s">
        <v>703</v>
      </c>
      <c r="I19" s="128" t="s">
        <v>704</v>
      </c>
      <c r="J19" s="128" t="s">
        <v>705</v>
      </c>
      <c r="K19" s="128" t="s">
        <v>706</v>
      </c>
      <c r="L19" s="127" t="s">
        <v>519</v>
      </c>
      <c r="M19" s="128" t="s">
        <v>647</v>
      </c>
      <c r="N19" s="128" t="s">
        <v>707</v>
      </c>
      <c r="O19" s="128" t="s">
        <v>708</v>
      </c>
      <c r="P19" s="128" t="s">
        <v>709</v>
      </c>
      <c r="Q19" s="128" t="s">
        <v>710</v>
      </c>
      <c r="R19" s="128" t="s">
        <v>711</v>
      </c>
      <c r="S19" s="128" t="s">
        <v>712</v>
      </c>
      <c r="T19" s="140" t="s">
        <v>713</v>
      </c>
      <c r="U19" s="140" t="s">
        <v>714</v>
      </c>
      <c r="V19" s="128" t="s">
        <v>715</v>
      </c>
      <c r="W19" s="17">
        <v>2016</v>
      </c>
    </row>
    <row r="20" spans="1:23" ht="87" x14ac:dyDescent="0.35">
      <c r="A20" s="41">
        <v>18</v>
      </c>
      <c r="B20" s="371" t="str">
        <f>+VLOOKUP(C20,'Applications List'!$B$4:$E$181,4,FALSE)</f>
        <v>Communication and Engagement</v>
      </c>
      <c r="C20" s="133" t="s">
        <v>57</v>
      </c>
      <c r="D20" s="132" t="s">
        <v>183</v>
      </c>
      <c r="E20" s="135" t="s">
        <v>716</v>
      </c>
      <c r="F20" s="136" t="s">
        <v>717</v>
      </c>
      <c r="G20" s="128" t="s">
        <v>718</v>
      </c>
      <c r="H20" s="128" t="s">
        <v>719</v>
      </c>
      <c r="I20" s="128" t="s">
        <v>720</v>
      </c>
      <c r="J20" s="128" t="s">
        <v>721</v>
      </c>
      <c r="K20" s="128" t="s">
        <v>722</v>
      </c>
      <c r="L20" s="127" t="s">
        <v>519</v>
      </c>
      <c r="M20" s="128" t="s">
        <v>647</v>
      </c>
      <c r="N20" s="128" t="s">
        <v>723</v>
      </c>
      <c r="O20" s="128" t="s">
        <v>724</v>
      </c>
      <c r="P20" s="128" t="s">
        <v>725</v>
      </c>
      <c r="Q20" s="128" t="s">
        <v>726</v>
      </c>
      <c r="R20" s="128" t="s">
        <v>727</v>
      </c>
      <c r="S20" s="128" t="s">
        <v>728</v>
      </c>
      <c r="T20" s="140" t="s">
        <v>729</v>
      </c>
      <c r="U20" s="140" t="s">
        <v>730</v>
      </c>
      <c r="V20" s="128"/>
      <c r="W20" s="17">
        <v>2010</v>
      </c>
    </row>
    <row r="21" spans="1:23" ht="72.5" x14ac:dyDescent="0.35">
      <c r="A21" s="41">
        <v>19</v>
      </c>
      <c r="B21" s="371" t="str">
        <f>+VLOOKUP(C21,'Applications List'!$B$4:$E$181,4,FALSE)</f>
        <v>Communication and Engagement</v>
      </c>
      <c r="C21" s="133" t="s">
        <v>57</v>
      </c>
      <c r="D21" s="132" t="s">
        <v>183</v>
      </c>
      <c r="E21" s="135" t="s">
        <v>731</v>
      </c>
      <c r="F21" s="136" t="s">
        <v>732</v>
      </c>
      <c r="G21" s="128" t="s">
        <v>733</v>
      </c>
      <c r="H21" s="128" t="s">
        <v>734</v>
      </c>
      <c r="I21" s="128" t="s">
        <v>735</v>
      </c>
      <c r="J21" s="128" t="s">
        <v>736</v>
      </c>
      <c r="K21" s="128" t="s">
        <v>737</v>
      </c>
      <c r="L21" s="127" t="s">
        <v>519</v>
      </c>
      <c r="M21" s="128" t="s">
        <v>738</v>
      </c>
      <c r="N21" s="128" t="s">
        <v>739</v>
      </c>
      <c r="O21" s="128" t="s">
        <v>740</v>
      </c>
      <c r="P21" s="128" t="s">
        <v>741</v>
      </c>
      <c r="Q21" s="128" t="s">
        <v>742</v>
      </c>
      <c r="R21" s="128" t="s">
        <v>743</v>
      </c>
      <c r="S21" s="128" t="s">
        <v>744</v>
      </c>
      <c r="T21" s="140" t="s">
        <v>745</v>
      </c>
      <c r="U21" s="140" t="s">
        <v>746</v>
      </c>
      <c r="V21" s="128"/>
      <c r="W21" s="17">
        <v>2019</v>
      </c>
    </row>
    <row r="22" spans="1:23" ht="87" x14ac:dyDescent="0.35">
      <c r="A22" s="41">
        <v>20</v>
      </c>
      <c r="B22" s="371" t="str">
        <f>+VLOOKUP(C22,'Applications List'!$B$4:$E$181,4,FALSE)</f>
        <v>Communication and Engagement</v>
      </c>
      <c r="C22" s="133" t="s">
        <v>57</v>
      </c>
      <c r="D22" s="132" t="s">
        <v>183</v>
      </c>
      <c r="E22" s="135" t="s">
        <v>747</v>
      </c>
      <c r="F22" s="136" t="s">
        <v>748</v>
      </c>
      <c r="G22" s="128" t="s">
        <v>749</v>
      </c>
      <c r="H22" s="128" t="s">
        <v>750</v>
      </c>
      <c r="I22" s="128" t="s">
        <v>704</v>
      </c>
      <c r="J22" s="128" t="s">
        <v>751</v>
      </c>
      <c r="K22" s="128" t="s">
        <v>752</v>
      </c>
      <c r="L22" s="127" t="s">
        <v>519</v>
      </c>
      <c r="M22" s="128" t="s">
        <v>753</v>
      </c>
      <c r="N22" s="128" t="s">
        <v>754</v>
      </c>
      <c r="O22" s="128" t="s">
        <v>755</v>
      </c>
      <c r="P22" s="128" t="s">
        <v>756</v>
      </c>
      <c r="Q22" s="128" t="s">
        <v>757</v>
      </c>
      <c r="R22" s="128" t="s">
        <v>758</v>
      </c>
      <c r="S22" s="128" t="s">
        <v>759</v>
      </c>
      <c r="T22" s="140" t="s">
        <v>760</v>
      </c>
      <c r="U22" s="140" t="s">
        <v>761</v>
      </c>
      <c r="V22" s="128"/>
      <c r="W22" s="17">
        <v>2013</v>
      </c>
    </row>
    <row r="23" spans="1:23" ht="87" x14ac:dyDescent="0.35">
      <c r="A23" s="41">
        <v>21</v>
      </c>
      <c r="B23" s="371" t="str">
        <f>+VLOOKUP(C23,'Applications List'!$B$4:$E$181,4,FALSE)</f>
        <v>Communication and Engagement</v>
      </c>
      <c r="C23" s="133" t="s">
        <v>57</v>
      </c>
      <c r="D23" s="132" t="s">
        <v>183</v>
      </c>
      <c r="E23" s="135" t="s">
        <v>762</v>
      </c>
      <c r="F23" s="136" t="s">
        <v>763</v>
      </c>
      <c r="G23" s="128" t="s">
        <v>764</v>
      </c>
      <c r="H23" s="128" t="s">
        <v>765</v>
      </c>
      <c r="I23" s="128" t="s">
        <v>704</v>
      </c>
      <c r="J23" s="128" t="s">
        <v>766</v>
      </c>
      <c r="K23" s="128" t="s">
        <v>767</v>
      </c>
      <c r="L23" s="127" t="s">
        <v>519</v>
      </c>
      <c r="M23" s="128" t="s">
        <v>647</v>
      </c>
      <c r="N23" s="128" t="s">
        <v>768</v>
      </c>
      <c r="O23" s="128" t="s">
        <v>769</v>
      </c>
      <c r="P23" s="128" t="s">
        <v>770</v>
      </c>
      <c r="Q23" s="128" t="s">
        <v>771</v>
      </c>
      <c r="R23" s="128" t="s">
        <v>772</v>
      </c>
      <c r="S23" s="128" t="s">
        <v>773</v>
      </c>
      <c r="T23" s="140" t="s">
        <v>774</v>
      </c>
      <c r="U23" s="140" t="s">
        <v>775</v>
      </c>
      <c r="V23" s="128"/>
      <c r="W23" s="17">
        <v>2020</v>
      </c>
    </row>
    <row r="24" spans="1:23" ht="72.5" x14ac:dyDescent="0.35">
      <c r="A24" s="41">
        <v>22</v>
      </c>
      <c r="B24" s="371" t="str">
        <f>+VLOOKUP(C24,'Applications List'!$B$4:$E$181,4,FALSE)</f>
        <v>Communication and Engagement</v>
      </c>
      <c r="C24" s="133" t="s">
        <v>57</v>
      </c>
      <c r="D24" s="132" t="s">
        <v>185</v>
      </c>
      <c r="E24" s="135" t="s">
        <v>776</v>
      </c>
      <c r="F24" s="136" t="s">
        <v>777</v>
      </c>
      <c r="G24" s="128"/>
      <c r="H24" s="128" t="s">
        <v>778</v>
      </c>
      <c r="I24" s="128" t="s">
        <v>779</v>
      </c>
      <c r="J24" s="128" t="s">
        <v>780</v>
      </c>
      <c r="K24" s="128" t="s">
        <v>781</v>
      </c>
      <c r="L24" s="127" t="s">
        <v>519</v>
      </c>
      <c r="M24" s="128" t="s">
        <v>549</v>
      </c>
      <c r="N24" s="128" t="s">
        <v>782</v>
      </c>
      <c r="O24" s="128" t="s">
        <v>783</v>
      </c>
      <c r="P24" s="128" t="s">
        <v>784</v>
      </c>
      <c r="Q24" s="128" t="s">
        <v>785</v>
      </c>
      <c r="R24" s="128" t="s">
        <v>786</v>
      </c>
      <c r="S24" s="128" t="s">
        <v>787</v>
      </c>
      <c r="T24" s="140" t="s">
        <v>788</v>
      </c>
      <c r="U24" s="140" t="s">
        <v>789</v>
      </c>
      <c r="V24" s="128"/>
      <c r="W24" s="17"/>
    </row>
    <row r="25" spans="1:23" ht="72.5" x14ac:dyDescent="0.35">
      <c r="A25" s="41">
        <v>23</v>
      </c>
      <c r="B25" s="371" t="str">
        <f>+VLOOKUP(C25,'Applications List'!$B$4:$E$181,4,FALSE)</f>
        <v>Communication and Engagement</v>
      </c>
      <c r="C25" s="133" t="s">
        <v>57</v>
      </c>
      <c r="D25" s="132" t="s">
        <v>185</v>
      </c>
      <c r="E25" s="135" t="s">
        <v>790</v>
      </c>
      <c r="F25" s="136" t="s">
        <v>791</v>
      </c>
      <c r="G25" s="128"/>
      <c r="H25" s="128" t="s">
        <v>792</v>
      </c>
      <c r="I25" s="128" t="s">
        <v>793</v>
      </c>
      <c r="J25" s="128" t="s">
        <v>794</v>
      </c>
      <c r="K25" s="128" t="s">
        <v>795</v>
      </c>
      <c r="L25" s="127" t="s">
        <v>519</v>
      </c>
      <c r="M25" s="128" t="s">
        <v>549</v>
      </c>
      <c r="N25" s="128" t="s">
        <v>796</v>
      </c>
      <c r="O25" s="128" t="s">
        <v>797</v>
      </c>
      <c r="P25" s="128" t="s">
        <v>798</v>
      </c>
      <c r="Q25" s="128" t="s">
        <v>799</v>
      </c>
      <c r="R25" s="128" t="s">
        <v>800</v>
      </c>
      <c r="S25" s="128" t="s">
        <v>801</v>
      </c>
      <c r="T25" s="140" t="s">
        <v>802</v>
      </c>
      <c r="U25" s="140" t="s">
        <v>803</v>
      </c>
      <c r="V25" s="128"/>
      <c r="W25" s="17">
        <v>2015</v>
      </c>
    </row>
    <row r="26" spans="1:23" ht="87" x14ac:dyDescent="0.35">
      <c r="A26" s="41">
        <v>24</v>
      </c>
      <c r="B26" s="371" t="str">
        <f>+VLOOKUP(C26,'Applications List'!$B$4:$E$181,4,FALSE)</f>
        <v>Communication and Engagement</v>
      </c>
      <c r="C26" s="133" t="s">
        <v>57</v>
      </c>
      <c r="D26" s="132" t="s">
        <v>185</v>
      </c>
      <c r="E26" s="135" t="s">
        <v>804</v>
      </c>
      <c r="F26" s="136" t="s">
        <v>805</v>
      </c>
      <c r="G26" s="128"/>
      <c r="H26" s="128" t="s">
        <v>806</v>
      </c>
      <c r="I26" s="127" t="s">
        <v>533</v>
      </c>
      <c r="J26" s="128" t="s">
        <v>807</v>
      </c>
      <c r="K26" s="128" t="s">
        <v>808</v>
      </c>
      <c r="L26" s="127" t="s">
        <v>519</v>
      </c>
      <c r="M26" s="128" t="s">
        <v>549</v>
      </c>
      <c r="N26" s="128" t="s">
        <v>809</v>
      </c>
      <c r="O26" s="128" t="s">
        <v>810</v>
      </c>
      <c r="P26" s="128" t="s">
        <v>811</v>
      </c>
      <c r="Q26" s="128" t="s">
        <v>812</v>
      </c>
      <c r="R26" s="128" t="s">
        <v>813</v>
      </c>
      <c r="S26" s="128" t="s">
        <v>697</v>
      </c>
      <c r="T26" s="140" t="s">
        <v>814</v>
      </c>
      <c r="U26" s="140" t="s">
        <v>815</v>
      </c>
      <c r="V26" s="128"/>
      <c r="W26" s="17">
        <v>2015</v>
      </c>
    </row>
    <row r="27" spans="1:23" ht="101.5" x14ac:dyDescent="0.35">
      <c r="A27" s="41">
        <v>25</v>
      </c>
      <c r="B27" s="371" t="str">
        <f>+VLOOKUP(C27,'Applications List'!$B$4:$E$181,4,FALSE)</f>
        <v>Communication and Engagement</v>
      </c>
      <c r="C27" s="133" t="s">
        <v>57</v>
      </c>
      <c r="D27" s="132" t="s">
        <v>185</v>
      </c>
      <c r="E27" s="135" t="s">
        <v>816</v>
      </c>
      <c r="F27" s="136" t="s">
        <v>817</v>
      </c>
      <c r="G27" s="128" t="s">
        <v>818</v>
      </c>
      <c r="H27" s="128" t="s">
        <v>819</v>
      </c>
      <c r="I27" s="128" t="s">
        <v>820</v>
      </c>
      <c r="J27" s="128" t="s">
        <v>721</v>
      </c>
      <c r="K27" s="128" t="s">
        <v>821</v>
      </c>
      <c r="L27" s="127" t="s">
        <v>519</v>
      </c>
      <c r="M27" s="128" t="s">
        <v>574</v>
      </c>
      <c r="N27" s="128" t="s">
        <v>822</v>
      </c>
      <c r="O27" s="128" t="s">
        <v>823</v>
      </c>
      <c r="P27" s="128" t="s">
        <v>824</v>
      </c>
      <c r="Q27" s="128" t="s">
        <v>825</v>
      </c>
      <c r="R27" s="128" t="s">
        <v>826</v>
      </c>
      <c r="S27" s="128" t="s">
        <v>827</v>
      </c>
      <c r="T27" s="140" t="s">
        <v>828</v>
      </c>
      <c r="U27" s="140" t="s">
        <v>829</v>
      </c>
      <c r="V27" s="128"/>
      <c r="W27" s="17">
        <v>2017</v>
      </c>
    </row>
    <row r="28" spans="1:23" ht="31" customHeight="1" x14ac:dyDescent="0.35">
      <c r="A28" s="41">
        <v>26</v>
      </c>
      <c r="B28" s="371" t="str">
        <f>+VLOOKUP(C28,'Applications List'!$B$4:$E$181,4,FALSE)</f>
        <v>Communication and Engagement</v>
      </c>
      <c r="C28" s="133" t="s">
        <v>57</v>
      </c>
      <c r="D28" s="132" t="s">
        <v>188</v>
      </c>
      <c r="E28" s="135" t="s">
        <v>3215</v>
      </c>
      <c r="F28" s="136" t="s">
        <v>830</v>
      </c>
      <c r="G28" s="128"/>
      <c r="H28" s="128" t="s">
        <v>3214</v>
      </c>
      <c r="I28" s="128" t="s">
        <v>3154</v>
      </c>
      <c r="J28" s="128" t="s">
        <v>534</v>
      </c>
      <c r="K28" s="128" t="s">
        <v>3213</v>
      </c>
      <c r="L28" s="127" t="s">
        <v>519</v>
      </c>
      <c r="M28" s="128" t="s">
        <v>574</v>
      </c>
      <c r="N28" s="128" t="s">
        <v>831</v>
      </c>
      <c r="O28" s="128" t="s">
        <v>832</v>
      </c>
      <c r="P28" s="128" t="s">
        <v>833</v>
      </c>
      <c r="Q28" s="128" t="s">
        <v>834</v>
      </c>
      <c r="R28" s="128" t="s">
        <v>835</v>
      </c>
      <c r="S28" s="128" t="s">
        <v>836</v>
      </c>
      <c r="T28" s="227" t="s">
        <v>3216</v>
      </c>
      <c r="U28" s="227" t="s">
        <v>837</v>
      </c>
      <c r="V28" s="128"/>
      <c r="W28" s="17">
        <v>2025</v>
      </c>
    </row>
    <row r="29" spans="1:23" ht="80.150000000000006" customHeight="1" x14ac:dyDescent="0.35">
      <c r="A29" s="41">
        <v>27</v>
      </c>
      <c r="B29" s="371" t="str">
        <f>+VLOOKUP(C29,'Applications List'!$B$4:$E$181,4,FALSE)</f>
        <v>Communication and Engagement</v>
      </c>
      <c r="C29" s="133" t="s">
        <v>57</v>
      </c>
      <c r="D29" s="132" t="s">
        <v>188</v>
      </c>
      <c r="E29" s="135" t="s">
        <v>838</v>
      </c>
      <c r="F29" s="136" t="s">
        <v>839</v>
      </c>
      <c r="G29" s="128" t="s">
        <v>840</v>
      </c>
      <c r="H29" s="128" t="s">
        <v>841</v>
      </c>
      <c r="I29" s="128" t="s">
        <v>1092</v>
      </c>
      <c r="J29" s="128" t="s">
        <v>721</v>
      </c>
      <c r="K29" s="128" t="s">
        <v>842</v>
      </c>
      <c r="L29" s="127" t="s">
        <v>519</v>
      </c>
      <c r="M29" s="128" t="s">
        <v>3199</v>
      </c>
      <c r="N29" s="128" t="s">
        <v>843</v>
      </c>
      <c r="O29" s="128" t="s">
        <v>844</v>
      </c>
      <c r="P29" s="128" t="s">
        <v>845</v>
      </c>
      <c r="Q29" s="128" t="s">
        <v>846</v>
      </c>
      <c r="R29" s="128" t="s">
        <v>847</v>
      </c>
      <c r="S29" s="128" t="s">
        <v>848</v>
      </c>
      <c r="T29" s="234" t="s">
        <v>849</v>
      </c>
      <c r="U29" s="234" t="s">
        <v>850</v>
      </c>
      <c r="V29" s="128"/>
      <c r="W29" s="17">
        <v>2020</v>
      </c>
    </row>
    <row r="30" spans="1:23" ht="101.5" x14ac:dyDescent="0.35">
      <c r="A30" s="41">
        <v>28</v>
      </c>
      <c r="B30" s="371" t="str">
        <f>+VLOOKUP(C30,'Applications List'!$B$4:$E$181,4,FALSE)</f>
        <v>Operations</v>
      </c>
      <c r="C30" s="133" t="s">
        <v>48</v>
      </c>
      <c r="D30" s="132" t="s">
        <v>123</v>
      </c>
      <c r="E30" s="135" t="s">
        <v>851</v>
      </c>
      <c r="F30" s="136" t="s">
        <v>852</v>
      </c>
      <c r="G30" s="128" t="s">
        <v>3217</v>
      </c>
      <c r="H30" s="128" t="s">
        <v>853</v>
      </c>
      <c r="I30" s="128" t="s">
        <v>3218</v>
      </c>
      <c r="J30" s="128" t="s">
        <v>854</v>
      </c>
      <c r="K30" s="128" t="s">
        <v>3219</v>
      </c>
      <c r="L30" s="127" t="s">
        <v>519</v>
      </c>
      <c r="M30" s="128" t="s">
        <v>738</v>
      </c>
      <c r="N30" s="128" t="s">
        <v>855</v>
      </c>
      <c r="O30" s="128" t="s">
        <v>856</v>
      </c>
      <c r="P30" s="128" t="s">
        <v>857</v>
      </c>
      <c r="Q30" s="128" t="s">
        <v>858</v>
      </c>
      <c r="R30" s="128" t="s">
        <v>859</v>
      </c>
      <c r="S30" s="128" t="s">
        <v>860</v>
      </c>
      <c r="T30" s="233" t="s">
        <v>861</v>
      </c>
      <c r="U30" s="233" t="s">
        <v>862</v>
      </c>
      <c r="V30" s="128"/>
      <c r="W30" s="17">
        <v>2015</v>
      </c>
    </row>
    <row r="31" spans="1:23" ht="145" x14ac:dyDescent="0.35">
      <c r="A31" s="41">
        <v>29</v>
      </c>
      <c r="B31" s="371" t="str">
        <f>+VLOOKUP(C31,'Applications List'!$B$4:$E$181,4,FALSE)</f>
        <v>Maintenance &amp; Safety</v>
      </c>
      <c r="C31" s="133" t="s">
        <v>64</v>
      </c>
      <c r="D31" s="132" t="s">
        <v>234</v>
      </c>
      <c r="E31" s="135" t="s">
        <v>863</v>
      </c>
      <c r="F31" s="136" t="s">
        <v>864</v>
      </c>
      <c r="G31" s="128" t="s">
        <v>865</v>
      </c>
      <c r="H31" s="128" t="s">
        <v>866</v>
      </c>
      <c r="I31" s="128" t="s">
        <v>867</v>
      </c>
      <c r="J31" s="128" t="s">
        <v>721</v>
      </c>
      <c r="K31" s="128" t="s">
        <v>868</v>
      </c>
      <c r="L31" s="127" t="s">
        <v>519</v>
      </c>
      <c r="M31" s="128" t="s">
        <v>647</v>
      </c>
      <c r="N31" s="128" t="s">
        <v>869</v>
      </c>
      <c r="O31" s="128" t="s">
        <v>870</v>
      </c>
      <c r="P31" s="128" t="s">
        <v>871</v>
      </c>
      <c r="Q31" s="128" t="s">
        <v>872</v>
      </c>
      <c r="R31" s="128" t="s">
        <v>873</v>
      </c>
      <c r="S31" s="128" t="s">
        <v>874</v>
      </c>
      <c r="T31" s="138" t="s">
        <v>875</v>
      </c>
      <c r="U31" s="138" t="s">
        <v>876</v>
      </c>
      <c r="V31" s="128"/>
      <c r="W31" s="17">
        <v>2016</v>
      </c>
    </row>
    <row r="32" spans="1:23" ht="101.5" x14ac:dyDescent="0.35">
      <c r="A32" s="41">
        <v>30</v>
      </c>
      <c r="B32" s="371" t="str">
        <f>+VLOOKUP(C32,'Applications List'!$B$4:$E$181,4,FALSE)</f>
        <v>Maintenance &amp; Safety</v>
      </c>
      <c r="C32" s="133" t="s">
        <v>64</v>
      </c>
      <c r="D32" s="132" t="s">
        <v>237</v>
      </c>
      <c r="E32" s="135" t="s">
        <v>877</v>
      </c>
      <c r="F32" s="136" t="s">
        <v>878</v>
      </c>
      <c r="G32" s="128"/>
      <c r="H32" s="128" t="s">
        <v>879</v>
      </c>
      <c r="I32" s="128" t="s">
        <v>533</v>
      </c>
      <c r="J32" s="128" t="s">
        <v>880</v>
      </c>
      <c r="K32" s="128" t="s">
        <v>881</v>
      </c>
      <c r="L32" s="127" t="s">
        <v>519</v>
      </c>
      <c r="M32" s="128" t="s">
        <v>549</v>
      </c>
      <c r="N32" s="128" t="s">
        <v>882</v>
      </c>
      <c r="O32" s="128" t="s">
        <v>883</v>
      </c>
      <c r="P32" s="128" t="s">
        <v>884</v>
      </c>
      <c r="Q32" s="128" t="s">
        <v>885</v>
      </c>
      <c r="R32" s="128" t="s">
        <v>886</v>
      </c>
      <c r="S32" s="128" t="s">
        <v>887</v>
      </c>
      <c r="T32" s="138" t="s">
        <v>888</v>
      </c>
      <c r="U32" s="138" t="s">
        <v>889</v>
      </c>
      <c r="V32" s="128"/>
      <c r="W32" s="17">
        <v>2019</v>
      </c>
    </row>
    <row r="33" spans="1:23" ht="101.5" x14ac:dyDescent="0.35">
      <c r="A33" s="41">
        <v>31</v>
      </c>
      <c r="B33" s="371" t="str">
        <f>+VLOOKUP(C33,'Applications List'!$B$4:$E$181,4,FALSE)</f>
        <v>Maintenance &amp; Safety</v>
      </c>
      <c r="C33" s="133" t="s">
        <v>64</v>
      </c>
      <c r="D33" s="132" t="s">
        <v>237</v>
      </c>
      <c r="E33" s="135" t="s">
        <v>890</v>
      </c>
      <c r="F33" s="136" t="s">
        <v>891</v>
      </c>
      <c r="G33" s="128"/>
      <c r="H33" s="128" t="s">
        <v>892</v>
      </c>
      <c r="I33" s="128" t="s">
        <v>893</v>
      </c>
      <c r="J33" s="128" t="s">
        <v>894</v>
      </c>
      <c r="K33" s="128" t="s">
        <v>895</v>
      </c>
      <c r="L33" s="127" t="s">
        <v>519</v>
      </c>
      <c r="M33" s="128" t="s">
        <v>549</v>
      </c>
      <c r="N33" s="128" t="s">
        <v>896</v>
      </c>
      <c r="O33" s="128" t="s">
        <v>897</v>
      </c>
      <c r="P33" s="128" t="s">
        <v>898</v>
      </c>
      <c r="Q33" s="128" t="s">
        <v>899</v>
      </c>
      <c r="R33" s="128" t="s">
        <v>900</v>
      </c>
      <c r="S33" s="128" t="s">
        <v>901</v>
      </c>
      <c r="T33" s="138" t="s">
        <v>902</v>
      </c>
      <c r="U33" s="138" t="s">
        <v>903</v>
      </c>
      <c r="V33" s="128"/>
      <c r="W33" s="17">
        <v>2021</v>
      </c>
    </row>
    <row r="34" spans="1:23" ht="101.5" x14ac:dyDescent="0.35">
      <c r="A34" s="41">
        <v>32</v>
      </c>
      <c r="B34" s="371" t="str">
        <f>+VLOOKUP(C34,'Applications List'!$B$4:$E$181,4,FALSE)</f>
        <v>Maintenance &amp; Safety</v>
      </c>
      <c r="C34" s="133" t="s">
        <v>64</v>
      </c>
      <c r="D34" s="132" t="s">
        <v>239</v>
      </c>
      <c r="E34" s="135" t="s">
        <v>904</v>
      </c>
      <c r="F34" s="136" t="s">
        <v>905</v>
      </c>
      <c r="G34" s="128"/>
      <c r="H34" s="128" t="s">
        <v>906</v>
      </c>
      <c r="I34" s="128" t="s">
        <v>533</v>
      </c>
      <c r="J34" s="128" t="s">
        <v>907</v>
      </c>
      <c r="K34" s="128" t="s">
        <v>908</v>
      </c>
      <c r="L34" s="127" t="s">
        <v>909</v>
      </c>
      <c r="M34" s="128" t="s">
        <v>574</v>
      </c>
      <c r="N34" s="128" t="s">
        <v>910</v>
      </c>
      <c r="O34" s="128" t="s">
        <v>911</v>
      </c>
      <c r="P34" s="128" t="s">
        <v>912</v>
      </c>
      <c r="Q34" s="128" t="s">
        <v>913</v>
      </c>
      <c r="R34" s="128" t="s">
        <v>914</v>
      </c>
      <c r="S34" s="128" t="s">
        <v>915</v>
      </c>
      <c r="T34" s="138" t="s">
        <v>916</v>
      </c>
      <c r="U34" s="138" t="s">
        <v>917</v>
      </c>
      <c r="V34" s="128"/>
      <c r="W34" s="17">
        <v>2011</v>
      </c>
    </row>
    <row r="35" spans="1:23" ht="101.5" x14ac:dyDescent="0.35">
      <c r="A35" s="41">
        <v>33</v>
      </c>
      <c r="B35" s="371" t="str">
        <f>+VLOOKUP(C35,'Applications List'!$B$4:$E$181,4,FALSE)</f>
        <v>Maintenance &amp; Safety</v>
      </c>
      <c r="C35" s="133" t="s">
        <v>64</v>
      </c>
      <c r="D35" s="132" t="s">
        <v>239</v>
      </c>
      <c r="E35" s="135" t="s">
        <v>918</v>
      </c>
      <c r="F35" s="136" t="s">
        <v>919</v>
      </c>
      <c r="G35" s="128" t="s">
        <v>920</v>
      </c>
      <c r="H35" s="128" t="s">
        <v>921</v>
      </c>
      <c r="I35" s="128" t="s">
        <v>820</v>
      </c>
      <c r="J35" s="128" t="s">
        <v>721</v>
      </c>
      <c r="K35" s="128" t="s">
        <v>922</v>
      </c>
      <c r="L35" s="127" t="s">
        <v>519</v>
      </c>
      <c r="M35" s="128" t="s">
        <v>574</v>
      </c>
      <c r="N35" s="128" t="s">
        <v>923</v>
      </c>
      <c r="O35" s="128" t="s">
        <v>924</v>
      </c>
      <c r="P35" s="128" t="s">
        <v>925</v>
      </c>
      <c r="Q35" s="128" t="s">
        <v>926</v>
      </c>
      <c r="R35" s="128" t="s">
        <v>927</v>
      </c>
      <c r="S35" s="128" t="s">
        <v>928</v>
      </c>
      <c r="T35" s="138" t="s">
        <v>929</v>
      </c>
      <c r="U35" s="138" t="s">
        <v>930</v>
      </c>
      <c r="V35" s="128"/>
      <c r="W35" s="17">
        <v>2009</v>
      </c>
    </row>
    <row r="36" spans="1:23" ht="116" x14ac:dyDescent="0.35">
      <c r="A36" s="41">
        <v>34</v>
      </c>
      <c r="B36" s="371" t="str">
        <f>+VLOOKUP(C36,'Applications List'!$B$4:$E$181,4,FALSE)</f>
        <v>Maintenance &amp; Safety</v>
      </c>
      <c r="C36" s="133" t="s">
        <v>64</v>
      </c>
      <c r="D36" s="132" t="s">
        <v>239</v>
      </c>
      <c r="E36" s="135" t="s">
        <v>931</v>
      </c>
      <c r="F36" s="136" t="s">
        <v>932</v>
      </c>
      <c r="G36" s="128"/>
      <c r="H36" s="128" t="s">
        <v>933</v>
      </c>
      <c r="I36" s="128" t="s">
        <v>600</v>
      </c>
      <c r="J36" s="128" t="s">
        <v>721</v>
      </c>
      <c r="K36" s="128" t="s">
        <v>934</v>
      </c>
      <c r="L36" s="127" t="s">
        <v>519</v>
      </c>
      <c r="M36" s="128" t="s">
        <v>647</v>
      </c>
      <c r="N36" s="128" t="s">
        <v>935</v>
      </c>
      <c r="O36" s="128" t="s">
        <v>936</v>
      </c>
      <c r="P36" s="128" t="s">
        <v>937</v>
      </c>
      <c r="Q36" s="128" t="s">
        <v>938</v>
      </c>
      <c r="R36" s="128" t="s">
        <v>939</v>
      </c>
      <c r="S36" s="128" t="s">
        <v>940</v>
      </c>
      <c r="T36" s="140" t="s">
        <v>941</v>
      </c>
      <c r="U36" s="140" t="s">
        <v>942</v>
      </c>
      <c r="V36" s="128"/>
      <c r="W36" s="17">
        <v>2000</v>
      </c>
    </row>
    <row r="37" spans="1:23" ht="72.5" x14ac:dyDescent="0.35">
      <c r="A37" s="41">
        <v>35</v>
      </c>
      <c r="B37" s="371" t="str">
        <f>+VLOOKUP(C37,'Applications List'!$B$4:$E$181,4,FALSE)</f>
        <v>Maintenance &amp; Safety</v>
      </c>
      <c r="C37" s="133" t="s">
        <v>64</v>
      </c>
      <c r="D37" s="132" t="s">
        <v>239</v>
      </c>
      <c r="E37" s="135" t="s">
        <v>943</v>
      </c>
      <c r="F37" s="136" t="s">
        <v>944</v>
      </c>
      <c r="G37" s="128" t="s">
        <v>945</v>
      </c>
      <c r="H37" s="128" t="s">
        <v>946</v>
      </c>
      <c r="I37" s="128" t="s">
        <v>867</v>
      </c>
      <c r="J37" s="128" t="s">
        <v>947</v>
      </c>
      <c r="K37" s="128" t="s">
        <v>948</v>
      </c>
      <c r="L37" s="127" t="s">
        <v>949</v>
      </c>
      <c r="M37" s="128" t="s">
        <v>588</v>
      </c>
      <c r="N37" s="128" t="s">
        <v>950</v>
      </c>
      <c r="O37" s="128" t="s">
        <v>951</v>
      </c>
      <c r="P37" s="128" t="s">
        <v>952</v>
      </c>
      <c r="Q37" s="128" t="s">
        <v>953</v>
      </c>
      <c r="R37" s="128" t="s">
        <v>954</v>
      </c>
      <c r="S37" s="128" t="s">
        <v>955</v>
      </c>
      <c r="T37" s="140" t="s">
        <v>956</v>
      </c>
      <c r="U37" s="140" t="s">
        <v>957</v>
      </c>
      <c r="V37" s="128"/>
      <c r="W37" s="17">
        <v>2016</v>
      </c>
    </row>
    <row r="38" spans="1:23" ht="87" x14ac:dyDescent="0.35">
      <c r="A38" s="41">
        <v>36</v>
      </c>
      <c r="B38" s="371" t="str">
        <f>+VLOOKUP(C38,'Applications List'!$B$4:$E$181,4,FALSE)</f>
        <v>Communication and Engagement</v>
      </c>
      <c r="C38" s="133" t="s">
        <v>57</v>
      </c>
      <c r="D38" s="132" t="s">
        <v>188</v>
      </c>
      <c r="E38" s="135" t="s">
        <v>958</v>
      </c>
      <c r="F38" s="136" t="s">
        <v>959</v>
      </c>
      <c r="G38" s="128"/>
      <c r="H38" s="128" t="s">
        <v>960</v>
      </c>
      <c r="I38" s="128" t="s">
        <v>533</v>
      </c>
      <c r="J38" s="128" t="s">
        <v>961</v>
      </c>
      <c r="K38" s="128" t="s">
        <v>962</v>
      </c>
      <c r="L38" s="127" t="s">
        <v>963</v>
      </c>
      <c r="M38" s="128" t="s">
        <v>549</v>
      </c>
      <c r="N38" s="128" t="s">
        <v>964</v>
      </c>
      <c r="O38" s="128" t="s">
        <v>965</v>
      </c>
      <c r="P38" s="128" t="s">
        <v>966</v>
      </c>
      <c r="Q38" s="128" t="s">
        <v>967</v>
      </c>
      <c r="R38" s="128" t="s">
        <v>968</v>
      </c>
      <c r="S38" s="128" t="s">
        <v>697</v>
      </c>
      <c r="T38" s="140" t="s">
        <v>969</v>
      </c>
      <c r="U38" s="140" t="s">
        <v>970</v>
      </c>
      <c r="V38" s="128"/>
      <c r="W38" s="17">
        <v>2013</v>
      </c>
    </row>
    <row r="39" spans="1:23" ht="116" x14ac:dyDescent="0.35">
      <c r="A39" s="41">
        <v>37</v>
      </c>
      <c r="B39" s="371" t="str">
        <f>+VLOOKUP(C39,'Applications List'!$B$4:$E$181,4,FALSE)</f>
        <v>Maintenance &amp; Safety</v>
      </c>
      <c r="C39" s="133" t="s">
        <v>64</v>
      </c>
      <c r="D39" s="132" t="s">
        <v>239</v>
      </c>
      <c r="E39" s="135" t="s">
        <v>971</v>
      </c>
      <c r="F39" s="136" t="s">
        <v>972</v>
      </c>
      <c r="H39" s="128" t="s">
        <v>973</v>
      </c>
      <c r="I39" s="128" t="s">
        <v>533</v>
      </c>
      <c r="J39" s="128" t="s">
        <v>961</v>
      </c>
      <c r="K39" s="128" t="s">
        <v>974</v>
      </c>
      <c r="L39" s="127" t="s">
        <v>975</v>
      </c>
      <c r="M39" s="128" t="s">
        <v>549</v>
      </c>
      <c r="N39" s="128" t="s">
        <v>976</v>
      </c>
      <c r="O39" s="128" t="s">
        <v>977</v>
      </c>
      <c r="P39" s="128" t="s">
        <v>978</v>
      </c>
      <c r="Q39" s="128" t="s">
        <v>979</v>
      </c>
      <c r="R39" s="128" t="s">
        <v>980</v>
      </c>
      <c r="S39" s="128" t="s">
        <v>981</v>
      </c>
      <c r="T39" s="138" t="s">
        <v>982</v>
      </c>
      <c r="U39" s="138" t="s">
        <v>983</v>
      </c>
      <c r="W39" s="17">
        <v>2020</v>
      </c>
    </row>
    <row r="40" spans="1:23" ht="72.5" x14ac:dyDescent="0.35">
      <c r="A40" s="41">
        <v>38</v>
      </c>
      <c r="B40" s="371" t="str">
        <f>+VLOOKUP(C40,'Applications List'!$B$4:$E$181,4,FALSE)</f>
        <v>Maintenance &amp; Safety</v>
      </c>
      <c r="C40" s="133" t="s">
        <v>64</v>
      </c>
      <c r="D40" s="132" t="s">
        <v>242</v>
      </c>
      <c r="E40" s="135" t="s">
        <v>984</v>
      </c>
      <c r="F40" s="136" t="s">
        <v>985</v>
      </c>
      <c r="H40" s="128" t="s">
        <v>986</v>
      </c>
      <c r="I40" s="128" t="s">
        <v>533</v>
      </c>
      <c r="J40" s="128" t="s">
        <v>987</v>
      </c>
      <c r="K40" s="128" t="s">
        <v>988</v>
      </c>
      <c r="L40" s="127" t="s">
        <v>519</v>
      </c>
      <c r="M40" s="128" t="s">
        <v>574</v>
      </c>
      <c r="N40" s="128" t="s">
        <v>989</v>
      </c>
      <c r="O40" s="128" t="s">
        <v>990</v>
      </c>
      <c r="P40" s="128" t="s">
        <v>991</v>
      </c>
      <c r="Q40" s="128" t="s">
        <v>992</v>
      </c>
      <c r="R40" s="128" t="s">
        <v>993</v>
      </c>
      <c r="S40" s="128" t="s">
        <v>994</v>
      </c>
      <c r="T40" s="138" t="s">
        <v>995</v>
      </c>
      <c r="U40" s="138" t="s">
        <v>996</v>
      </c>
      <c r="W40" s="17">
        <v>2020</v>
      </c>
    </row>
    <row r="41" spans="1:23" ht="101.5" x14ac:dyDescent="0.35">
      <c r="A41" s="41">
        <v>39</v>
      </c>
      <c r="B41" s="371" t="str">
        <f>+VLOOKUP(C41,'Applications List'!$B$4:$E$181,4,FALSE)</f>
        <v>Maintenance &amp; Safety</v>
      </c>
      <c r="C41" s="133" t="s">
        <v>64</v>
      </c>
      <c r="D41" s="132" t="s">
        <v>242</v>
      </c>
      <c r="E41" s="135" t="s">
        <v>997</v>
      </c>
      <c r="F41" s="136" t="s">
        <v>998</v>
      </c>
      <c r="G41" s="127" t="s">
        <v>999</v>
      </c>
      <c r="H41" s="128" t="s">
        <v>1000</v>
      </c>
      <c r="I41" s="128" t="s">
        <v>533</v>
      </c>
      <c r="J41" s="127" t="s">
        <v>572</v>
      </c>
      <c r="K41" s="128" t="s">
        <v>1001</v>
      </c>
      <c r="L41" s="127" t="s">
        <v>519</v>
      </c>
      <c r="M41" s="128" t="s">
        <v>1002</v>
      </c>
      <c r="N41" s="128" t="s">
        <v>1003</v>
      </c>
      <c r="O41" s="128" t="s">
        <v>1004</v>
      </c>
      <c r="P41" s="128" t="s">
        <v>1005</v>
      </c>
      <c r="Q41" s="128" t="s">
        <v>1006</v>
      </c>
      <c r="R41" s="128" t="s">
        <v>1007</v>
      </c>
      <c r="S41" s="128" t="s">
        <v>1008</v>
      </c>
      <c r="T41" s="138" t="s">
        <v>1009</v>
      </c>
      <c r="U41" s="138" t="s">
        <v>1010</v>
      </c>
      <c r="W41" s="17">
        <v>2018</v>
      </c>
    </row>
    <row r="42" spans="1:23" ht="87" x14ac:dyDescent="0.35">
      <c r="A42" s="41">
        <v>40</v>
      </c>
      <c r="B42" s="371" t="str">
        <f>+VLOOKUP(C42,'Applications List'!$B$4:$E$181,4,FALSE)</f>
        <v>Maintenance &amp; Safety</v>
      </c>
      <c r="C42" s="133" t="s">
        <v>64</v>
      </c>
      <c r="D42" s="132" t="s">
        <v>242</v>
      </c>
      <c r="E42" s="135" t="s">
        <v>1011</v>
      </c>
      <c r="F42" s="136" t="s">
        <v>1012</v>
      </c>
      <c r="G42" s="127"/>
      <c r="H42" s="128" t="s">
        <v>1013</v>
      </c>
      <c r="I42" s="128" t="s">
        <v>1014</v>
      </c>
      <c r="J42" s="127" t="s">
        <v>572</v>
      </c>
      <c r="K42" s="128" t="s">
        <v>1015</v>
      </c>
      <c r="L42" s="127" t="s">
        <v>519</v>
      </c>
      <c r="M42" s="128" t="s">
        <v>574</v>
      </c>
      <c r="N42" s="128" t="s">
        <v>1016</v>
      </c>
      <c r="O42" s="128" t="s">
        <v>1004</v>
      </c>
      <c r="P42" s="128" t="s">
        <v>1017</v>
      </c>
      <c r="Q42" s="128" t="s">
        <v>1018</v>
      </c>
      <c r="R42" s="128" t="s">
        <v>1019</v>
      </c>
      <c r="S42" s="128" t="s">
        <v>1020</v>
      </c>
      <c r="T42" s="138" t="s">
        <v>1021</v>
      </c>
      <c r="U42" s="138" t="s">
        <v>1022</v>
      </c>
      <c r="W42" s="17">
        <v>2021</v>
      </c>
    </row>
    <row r="43" spans="1:23" ht="72.5" x14ac:dyDescent="0.35">
      <c r="A43" s="41">
        <v>41</v>
      </c>
      <c r="B43" s="371" t="str">
        <f>+VLOOKUP(C43,'Applications List'!$B$4:$E$181,4,FALSE)</f>
        <v>Maintenance &amp; Safety</v>
      </c>
      <c r="C43" s="133" t="s">
        <v>64</v>
      </c>
      <c r="D43" s="132" t="s">
        <v>244</v>
      </c>
      <c r="E43" s="135" t="s">
        <v>1023</v>
      </c>
      <c r="F43" s="136" t="s">
        <v>1024</v>
      </c>
      <c r="G43" s="127"/>
      <c r="H43" s="128" t="s">
        <v>1025</v>
      </c>
      <c r="I43" s="128" t="s">
        <v>1026</v>
      </c>
      <c r="J43" s="128" t="s">
        <v>961</v>
      </c>
      <c r="K43" s="128" t="s">
        <v>1027</v>
      </c>
      <c r="L43" s="127" t="s">
        <v>519</v>
      </c>
      <c r="M43" s="128" t="s">
        <v>549</v>
      </c>
      <c r="N43" s="128" t="s">
        <v>1028</v>
      </c>
      <c r="O43" s="128" t="s">
        <v>1029</v>
      </c>
      <c r="P43" s="128" t="s">
        <v>1030</v>
      </c>
      <c r="Q43" s="128" t="s">
        <v>1031</v>
      </c>
      <c r="R43" s="128" t="s">
        <v>1032</v>
      </c>
      <c r="S43" s="128" t="s">
        <v>1033</v>
      </c>
      <c r="T43" s="138" t="s">
        <v>1034</v>
      </c>
      <c r="U43" s="138" t="s">
        <v>1035</v>
      </c>
      <c r="W43" s="17">
        <v>2021</v>
      </c>
    </row>
    <row r="44" spans="1:23" ht="58" x14ac:dyDescent="0.35">
      <c r="A44" s="41">
        <v>42</v>
      </c>
      <c r="B44" s="371" t="str">
        <f>+VLOOKUP(C44,'Applications List'!$B$4:$E$181,4,FALSE)</f>
        <v>Maintenance &amp; Safety</v>
      </c>
      <c r="C44" s="133" t="s">
        <v>64</v>
      </c>
      <c r="D44" s="132" t="s">
        <v>244</v>
      </c>
      <c r="E44" s="135" t="s">
        <v>1036</v>
      </c>
      <c r="F44" s="136" t="s">
        <v>1037</v>
      </c>
      <c r="G44" s="127" t="s">
        <v>1038</v>
      </c>
      <c r="H44" s="128" t="s">
        <v>1039</v>
      </c>
      <c r="I44" s="128" t="s">
        <v>1040</v>
      </c>
      <c r="J44" s="128" t="s">
        <v>961</v>
      </c>
      <c r="K44" s="128" t="s">
        <v>1041</v>
      </c>
      <c r="L44" s="127" t="s">
        <v>519</v>
      </c>
      <c r="M44" s="128" t="s">
        <v>1042</v>
      </c>
      <c r="N44" s="128" t="s">
        <v>1043</v>
      </c>
      <c r="O44" s="128" t="s">
        <v>1044</v>
      </c>
      <c r="P44" s="128" t="s">
        <v>1045</v>
      </c>
      <c r="Q44" s="128" t="s">
        <v>1046</v>
      </c>
      <c r="R44" s="128" t="s">
        <v>1047</v>
      </c>
      <c r="S44" s="128" t="s">
        <v>1048</v>
      </c>
      <c r="T44" s="138" t="s">
        <v>1049</v>
      </c>
      <c r="U44" s="138" t="s">
        <v>1050</v>
      </c>
      <c r="W44" s="17">
        <v>2009</v>
      </c>
    </row>
    <row r="45" spans="1:23" ht="58" x14ac:dyDescent="0.35">
      <c r="A45" s="41">
        <v>43</v>
      </c>
      <c r="B45" s="371" t="str">
        <f>+VLOOKUP(C45,'Applications List'!$B$4:$E$181,4,FALSE)</f>
        <v>Maintenance &amp; Safety</v>
      </c>
      <c r="C45" s="133" t="s">
        <v>64</v>
      </c>
      <c r="D45" s="132" t="s">
        <v>244</v>
      </c>
      <c r="E45" s="135" t="s">
        <v>1051</v>
      </c>
      <c r="F45" s="136" t="s">
        <v>1052</v>
      </c>
      <c r="G45" s="127" t="s">
        <v>1053</v>
      </c>
      <c r="H45" s="128" t="s">
        <v>1054</v>
      </c>
      <c r="I45" s="128" t="s">
        <v>1055</v>
      </c>
      <c r="J45" s="128" t="s">
        <v>961</v>
      </c>
      <c r="K45" s="128" t="s">
        <v>1056</v>
      </c>
      <c r="L45" s="127" t="s">
        <v>519</v>
      </c>
      <c r="M45" s="128" t="s">
        <v>119</v>
      </c>
      <c r="N45" s="128" t="s">
        <v>1057</v>
      </c>
      <c r="O45" s="128" t="s">
        <v>1058</v>
      </c>
      <c r="P45" s="128" t="s">
        <v>1059</v>
      </c>
      <c r="Q45" s="128" t="s">
        <v>1060</v>
      </c>
      <c r="R45" s="128" t="s">
        <v>1061</v>
      </c>
      <c r="S45" s="128" t="s">
        <v>1062</v>
      </c>
      <c r="T45" s="138" t="s">
        <v>1063</v>
      </c>
      <c r="U45" s="138" t="s">
        <v>1064</v>
      </c>
      <c r="W45" s="17">
        <v>1998</v>
      </c>
    </row>
    <row r="46" spans="1:23" ht="58" x14ac:dyDescent="0.35">
      <c r="A46" s="41">
        <v>44</v>
      </c>
      <c r="B46" s="371" t="str">
        <f>+VLOOKUP(C46,'Applications List'!$B$4:$E$181,4,FALSE)</f>
        <v>Maintenance &amp; Safety</v>
      </c>
      <c r="C46" s="133" t="s">
        <v>64</v>
      </c>
      <c r="D46" s="132" t="s">
        <v>244</v>
      </c>
      <c r="E46" s="135" t="s">
        <v>1065</v>
      </c>
      <c r="F46" s="136" t="s">
        <v>1066</v>
      </c>
      <c r="G46" s="127"/>
      <c r="H46" s="128" t="s">
        <v>1067</v>
      </c>
      <c r="I46" s="128" t="s">
        <v>720</v>
      </c>
      <c r="J46" s="128" t="s">
        <v>961</v>
      </c>
      <c r="K46" s="128" t="s">
        <v>1068</v>
      </c>
      <c r="L46" s="127" t="s">
        <v>519</v>
      </c>
      <c r="M46" s="128" t="s">
        <v>647</v>
      </c>
      <c r="N46" s="128" t="s">
        <v>1069</v>
      </c>
      <c r="O46" s="128" t="s">
        <v>1070</v>
      </c>
      <c r="P46" s="128" t="s">
        <v>1071</v>
      </c>
      <c r="Q46" s="128" t="s">
        <v>1072</v>
      </c>
      <c r="R46" s="128" t="s">
        <v>1073</v>
      </c>
      <c r="S46" s="128" t="s">
        <v>1074</v>
      </c>
      <c r="T46" s="138" t="s">
        <v>1075</v>
      </c>
      <c r="U46" s="138" t="s">
        <v>1076</v>
      </c>
      <c r="W46" s="17">
        <v>2011</v>
      </c>
    </row>
    <row r="47" spans="1:23" ht="58" x14ac:dyDescent="0.35">
      <c r="A47" s="41">
        <v>45</v>
      </c>
      <c r="B47" s="371" t="str">
        <f>+VLOOKUP(C47,'Applications List'!$B$4:$E$181,4,FALSE)</f>
        <v>Maintenance &amp; Safety</v>
      </c>
      <c r="C47" s="133" t="s">
        <v>64</v>
      </c>
      <c r="D47" s="132" t="s">
        <v>244</v>
      </c>
      <c r="E47" s="135" t="s">
        <v>1077</v>
      </c>
      <c r="F47" s="136" t="s">
        <v>1078</v>
      </c>
      <c r="G47" s="127"/>
      <c r="H47" s="128" t="s">
        <v>1079</v>
      </c>
      <c r="I47" s="128" t="s">
        <v>533</v>
      </c>
      <c r="J47" s="128" t="s">
        <v>721</v>
      </c>
      <c r="K47" s="128" t="s">
        <v>1080</v>
      </c>
      <c r="L47" s="127" t="s">
        <v>519</v>
      </c>
      <c r="M47" s="128" t="s">
        <v>549</v>
      </c>
      <c r="N47" s="128" t="s">
        <v>1081</v>
      </c>
      <c r="O47" s="128" t="s">
        <v>1082</v>
      </c>
      <c r="P47" s="128" t="s">
        <v>1083</v>
      </c>
      <c r="Q47" s="128" t="s">
        <v>1084</v>
      </c>
      <c r="R47" s="128" t="s">
        <v>1085</v>
      </c>
      <c r="S47" s="128" t="s">
        <v>1086</v>
      </c>
      <c r="T47" s="138" t="s">
        <v>1087</v>
      </c>
      <c r="U47" s="138" t="s">
        <v>1088</v>
      </c>
      <c r="W47" s="17">
        <v>2011</v>
      </c>
    </row>
    <row r="48" spans="1:23" ht="58" x14ac:dyDescent="0.35">
      <c r="A48" s="41">
        <v>46</v>
      </c>
      <c r="B48" s="371" t="str">
        <f>+VLOOKUP(C48,'Applications List'!$B$4:$E$181,4,FALSE)</f>
        <v>Maintenance &amp; Safety</v>
      </c>
      <c r="C48" s="133" t="s">
        <v>64</v>
      </c>
      <c r="D48" s="132" t="s">
        <v>244</v>
      </c>
      <c r="E48" s="135" t="s">
        <v>1089</v>
      </c>
      <c r="F48" s="136" t="s">
        <v>1090</v>
      </c>
      <c r="G48" s="127"/>
      <c r="H48" s="128" t="s">
        <v>1091</v>
      </c>
      <c r="I48" s="128" t="s">
        <v>1092</v>
      </c>
      <c r="J48" s="128" t="s">
        <v>961</v>
      </c>
      <c r="K48" s="128" t="s">
        <v>1093</v>
      </c>
      <c r="L48" s="127" t="s">
        <v>519</v>
      </c>
      <c r="M48" s="128" t="s">
        <v>549</v>
      </c>
      <c r="N48" s="128" t="s">
        <v>575</v>
      </c>
      <c r="O48" s="128" t="s">
        <v>1094</v>
      </c>
      <c r="P48" s="128" t="s">
        <v>1095</v>
      </c>
      <c r="Q48" s="128" t="s">
        <v>1096</v>
      </c>
      <c r="R48" s="128" t="s">
        <v>1097</v>
      </c>
      <c r="S48" s="128" t="s">
        <v>1098</v>
      </c>
      <c r="T48" s="138" t="s">
        <v>1099</v>
      </c>
      <c r="U48" s="138" t="s">
        <v>1100</v>
      </c>
      <c r="W48" s="17">
        <v>2019</v>
      </c>
    </row>
    <row r="49" spans="1:23" ht="101.5" x14ac:dyDescent="0.35">
      <c r="A49" s="41">
        <v>47</v>
      </c>
      <c r="B49" s="371" t="str">
        <f>+VLOOKUP(C49,'Applications List'!$B$4:$E$181,4,FALSE)</f>
        <v>Technology</v>
      </c>
      <c r="C49" s="133" t="s">
        <v>70</v>
      </c>
      <c r="D49" s="132" t="s">
        <v>269</v>
      </c>
      <c r="E49" s="135" t="s">
        <v>1101</v>
      </c>
      <c r="F49" s="136" t="s">
        <v>1102</v>
      </c>
      <c r="G49" s="127" t="s">
        <v>1103</v>
      </c>
      <c r="H49" s="128" t="s">
        <v>1104</v>
      </c>
      <c r="I49" s="128" t="s">
        <v>3221</v>
      </c>
      <c r="J49" s="128" t="s">
        <v>721</v>
      </c>
      <c r="K49" s="128" t="s">
        <v>1106</v>
      </c>
      <c r="L49" s="127" t="s">
        <v>519</v>
      </c>
      <c r="M49" s="128" t="s">
        <v>1107</v>
      </c>
      <c r="N49" s="128" t="s">
        <v>1108</v>
      </c>
      <c r="O49" s="128" t="s">
        <v>1109</v>
      </c>
      <c r="P49" s="128" t="s">
        <v>1110</v>
      </c>
      <c r="Q49" s="128" t="s">
        <v>1111</v>
      </c>
      <c r="R49" s="128" t="s">
        <v>1112</v>
      </c>
      <c r="S49" s="128" t="s">
        <v>1113</v>
      </c>
      <c r="T49" s="227" t="s">
        <v>1114</v>
      </c>
      <c r="U49" s="227" t="s">
        <v>1115</v>
      </c>
      <c r="W49" s="17">
        <v>2021</v>
      </c>
    </row>
    <row r="50" spans="1:23" ht="34.5" customHeight="1" x14ac:dyDescent="0.35">
      <c r="A50" s="41">
        <v>48</v>
      </c>
      <c r="B50" s="371" t="str">
        <f>+VLOOKUP(C50,'Applications List'!$B$4:$E$181,4,FALSE)</f>
        <v>Technology</v>
      </c>
      <c r="C50" s="133" t="s">
        <v>70</v>
      </c>
      <c r="D50" s="132" t="s">
        <v>269</v>
      </c>
      <c r="E50" s="135" t="s">
        <v>1116</v>
      </c>
      <c r="F50" s="136" t="s">
        <v>1117</v>
      </c>
      <c r="G50" s="127" t="s">
        <v>1118</v>
      </c>
      <c r="H50" s="128" t="s">
        <v>1119</v>
      </c>
      <c r="I50" s="128" t="s">
        <v>1120</v>
      </c>
      <c r="J50" s="127" t="s">
        <v>572</v>
      </c>
      <c r="K50" s="128" t="s">
        <v>1121</v>
      </c>
      <c r="L50" s="127" t="s">
        <v>519</v>
      </c>
      <c r="M50" s="128" t="s">
        <v>661</v>
      </c>
      <c r="N50" s="128" t="s">
        <v>1122</v>
      </c>
      <c r="O50" s="128" t="s">
        <v>1123</v>
      </c>
      <c r="P50" s="128" t="s">
        <v>1124</v>
      </c>
      <c r="Q50" s="128" t="s">
        <v>1125</v>
      </c>
      <c r="R50" s="128" t="s">
        <v>1126</v>
      </c>
      <c r="S50" s="128" t="s">
        <v>1127</v>
      </c>
      <c r="T50" s="227" t="s">
        <v>1128</v>
      </c>
      <c r="U50" s="227" t="s">
        <v>1129</v>
      </c>
      <c r="W50" s="17">
        <v>2021</v>
      </c>
    </row>
    <row r="51" spans="1:23" ht="43" customHeight="1" x14ac:dyDescent="0.35">
      <c r="A51" s="41">
        <v>49</v>
      </c>
      <c r="B51" s="371" t="str">
        <f>+VLOOKUP(C51,'Applications List'!$B$4:$E$181,4,FALSE)</f>
        <v>Technology</v>
      </c>
      <c r="C51" s="133" t="s">
        <v>70</v>
      </c>
      <c r="D51" s="132" t="s">
        <v>269</v>
      </c>
      <c r="E51" s="135" t="s">
        <v>1130</v>
      </c>
      <c r="F51" s="136" t="s">
        <v>1131</v>
      </c>
      <c r="G51" s="127" t="s">
        <v>1132</v>
      </c>
      <c r="H51" s="128" t="s">
        <v>1133</v>
      </c>
      <c r="I51" s="128" t="s">
        <v>1294</v>
      </c>
      <c r="J51" s="128" t="s">
        <v>1134</v>
      </c>
      <c r="K51" s="128" t="s">
        <v>1135</v>
      </c>
      <c r="L51" s="127" t="s">
        <v>519</v>
      </c>
      <c r="M51" s="128" t="s">
        <v>661</v>
      </c>
      <c r="N51" s="128" t="s">
        <v>1136</v>
      </c>
      <c r="O51" s="128" t="s">
        <v>1137</v>
      </c>
      <c r="P51" s="128" t="s">
        <v>1138</v>
      </c>
      <c r="Q51" s="128" t="s">
        <v>1139</v>
      </c>
      <c r="R51" s="128" t="s">
        <v>1140</v>
      </c>
      <c r="S51" s="128" t="s">
        <v>1141</v>
      </c>
      <c r="T51" s="227" t="s">
        <v>1142</v>
      </c>
      <c r="U51" s="227" t="s">
        <v>1143</v>
      </c>
      <c r="W51" s="17">
        <v>2023</v>
      </c>
    </row>
    <row r="52" spans="1:23" ht="43" customHeight="1" x14ac:dyDescent="0.35">
      <c r="A52" s="41">
        <v>50</v>
      </c>
      <c r="B52" s="371" t="str">
        <f>+VLOOKUP(C52,'Applications List'!$B$4:$E$181,4,FALSE)</f>
        <v>Technology</v>
      </c>
      <c r="C52" s="133" t="s">
        <v>70</v>
      </c>
      <c r="D52" s="132" t="s">
        <v>269</v>
      </c>
      <c r="E52" s="135" t="s">
        <v>1144</v>
      </c>
      <c r="F52" s="136" t="s">
        <v>1145</v>
      </c>
      <c r="G52" s="127"/>
      <c r="H52" s="128" t="s">
        <v>1146</v>
      </c>
      <c r="I52" s="128" t="s">
        <v>1120</v>
      </c>
      <c r="J52" s="128" t="s">
        <v>1147</v>
      </c>
      <c r="K52" s="128" t="s">
        <v>1148</v>
      </c>
      <c r="L52" s="127" t="s">
        <v>519</v>
      </c>
      <c r="M52" s="128" t="s">
        <v>574</v>
      </c>
      <c r="N52" s="128" t="s">
        <v>1149</v>
      </c>
      <c r="O52" s="128" t="s">
        <v>1150</v>
      </c>
      <c r="P52" s="128" t="s">
        <v>1151</v>
      </c>
      <c r="Q52" s="128" t="s">
        <v>1152</v>
      </c>
      <c r="R52" s="128" t="s">
        <v>1153</v>
      </c>
      <c r="S52" s="128" t="s">
        <v>1154</v>
      </c>
      <c r="T52" s="227" t="s">
        <v>1155</v>
      </c>
      <c r="U52" s="227"/>
      <c r="W52" s="17">
        <v>2023</v>
      </c>
    </row>
    <row r="53" spans="1:23" ht="34.5" customHeight="1" x14ac:dyDescent="0.35">
      <c r="A53" s="41">
        <v>51</v>
      </c>
      <c r="B53" s="371" t="str">
        <f>+VLOOKUP(C53,'Applications List'!$B$4:$E$181,4,FALSE)</f>
        <v>Technology</v>
      </c>
      <c r="C53" s="133" t="s">
        <v>70</v>
      </c>
      <c r="D53" s="132" t="s">
        <v>272</v>
      </c>
      <c r="E53" s="135" t="s">
        <v>1156</v>
      </c>
      <c r="F53" s="136" t="s">
        <v>3222</v>
      </c>
      <c r="G53" s="127"/>
      <c r="H53" s="128" t="s">
        <v>1157</v>
      </c>
      <c r="I53" s="128" t="s">
        <v>533</v>
      </c>
      <c r="J53" s="128" t="s">
        <v>1158</v>
      </c>
      <c r="K53" s="128" t="s">
        <v>1159</v>
      </c>
      <c r="L53" s="127" t="s">
        <v>519</v>
      </c>
      <c r="M53" s="128" t="s">
        <v>574</v>
      </c>
      <c r="N53" s="128" t="s">
        <v>1160</v>
      </c>
      <c r="O53" s="128" t="s">
        <v>1150</v>
      </c>
      <c r="P53" s="128" t="s">
        <v>1161</v>
      </c>
      <c r="Q53" s="128" t="s">
        <v>1162</v>
      </c>
      <c r="R53" s="128" t="s">
        <v>1163</v>
      </c>
      <c r="S53" s="128" t="s">
        <v>1164</v>
      </c>
      <c r="T53" s="227" t="s">
        <v>1165</v>
      </c>
      <c r="U53" s="227" t="s">
        <v>1166</v>
      </c>
      <c r="W53" s="17">
        <v>2024</v>
      </c>
    </row>
    <row r="54" spans="1:23" ht="38.15" customHeight="1" x14ac:dyDescent="0.35">
      <c r="A54" s="41">
        <v>52</v>
      </c>
      <c r="B54" s="371" t="str">
        <f>+VLOOKUP(C54,'Applications List'!$B$4:$E$181,4,FALSE)</f>
        <v>Technology</v>
      </c>
      <c r="C54" s="133" t="s">
        <v>70</v>
      </c>
      <c r="D54" s="132" t="s">
        <v>272</v>
      </c>
      <c r="E54" s="135" t="s">
        <v>1167</v>
      </c>
      <c r="F54" s="136" t="s">
        <v>1168</v>
      </c>
      <c r="H54" s="128" t="s">
        <v>1169</v>
      </c>
      <c r="I54" s="128" t="s">
        <v>533</v>
      </c>
      <c r="J54" s="127" t="s">
        <v>572</v>
      </c>
      <c r="K54" s="128" t="s">
        <v>1170</v>
      </c>
      <c r="L54" s="127" t="s">
        <v>519</v>
      </c>
      <c r="M54" s="128" t="s">
        <v>574</v>
      </c>
      <c r="N54" s="128" t="s">
        <v>1171</v>
      </c>
      <c r="O54" s="128" t="s">
        <v>1150</v>
      </c>
      <c r="P54" s="128" t="s">
        <v>1172</v>
      </c>
      <c r="Q54" s="128" t="s">
        <v>1173</v>
      </c>
      <c r="R54" s="128" t="s">
        <v>1174</v>
      </c>
      <c r="S54" s="128" t="s">
        <v>1175</v>
      </c>
      <c r="T54" s="227" t="s">
        <v>1176</v>
      </c>
      <c r="W54" s="17">
        <v>2021</v>
      </c>
    </row>
    <row r="55" spans="1:23" ht="39.65" customHeight="1" x14ac:dyDescent="0.35">
      <c r="A55" s="41">
        <v>53</v>
      </c>
      <c r="B55" s="371" t="str">
        <f>+VLOOKUP(C55,'Applications List'!$B$4:$E$181,4,FALSE)</f>
        <v>Technology</v>
      </c>
      <c r="C55" s="133" t="s">
        <v>70</v>
      </c>
      <c r="D55" s="132" t="s">
        <v>272</v>
      </c>
      <c r="E55" s="135" t="s">
        <v>1177</v>
      </c>
      <c r="F55" s="136" t="s">
        <v>3223</v>
      </c>
      <c r="G55" t="s">
        <v>1178</v>
      </c>
      <c r="H55" s="128" t="s">
        <v>1179</v>
      </c>
      <c r="I55" s="128" t="s">
        <v>3224</v>
      </c>
      <c r="J55" s="128" t="s">
        <v>961</v>
      </c>
      <c r="K55" s="128" t="s">
        <v>1180</v>
      </c>
      <c r="L55" s="127" t="s">
        <v>519</v>
      </c>
      <c r="M55" s="128" t="s">
        <v>661</v>
      </c>
      <c r="N55" s="128" t="s">
        <v>1181</v>
      </c>
      <c r="O55" s="128" t="s">
        <v>1182</v>
      </c>
      <c r="P55" s="128" t="s">
        <v>1183</v>
      </c>
      <c r="Q55" s="128" t="s">
        <v>1184</v>
      </c>
      <c r="R55" s="128" t="s">
        <v>1185</v>
      </c>
      <c r="S55" s="128" t="s">
        <v>1186</v>
      </c>
      <c r="T55" s="227" t="s">
        <v>1187</v>
      </c>
      <c r="U55" s="227" t="s">
        <v>1188</v>
      </c>
      <c r="W55" s="17">
        <v>2016</v>
      </c>
    </row>
    <row r="56" spans="1:23" ht="46" customHeight="1" x14ac:dyDescent="0.35">
      <c r="A56" s="41">
        <v>54</v>
      </c>
      <c r="B56" s="371" t="str">
        <f>+VLOOKUP(C56,'Applications List'!$B$4:$E$181,4,FALSE)</f>
        <v>Technology</v>
      </c>
      <c r="C56" s="133" t="s">
        <v>70</v>
      </c>
      <c r="D56" s="132" t="s">
        <v>272</v>
      </c>
      <c r="E56" s="135" t="s">
        <v>1189</v>
      </c>
      <c r="F56" s="136" t="s">
        <v>3225</v>
      </c>
      <c r="H56" s="128" t="s">
        <v>1190</v>
      </c>
      <c r="I56" s="128" t="s">
        <v>1294</v>
      </c>
      <c r="J56" s="128" t="s">
        <v>1191</v>
      </c>
      <c r="K56" s="128" t="s">
        <v>1192</v>
      </c>
      <c r="L56" s="127" t="s">
        <v>519</v>
      </c>
      <c r="M56" s="128" t="s">
        <v>574</v>
      </c>
      <c r="N56" s="128" t="s">
        <v>1193</v>
      </c>
      <c r="O56" s="128" t="s">
        <v>1150</v>
      </c>
      <c r="P56" s="128" t="s">
        <v>1194</v>
      </c>
      <c r="Q56" s="128" t="s">
        <v>1195</v>
      </c>
      <c r="R56" s="128" t="s">
        <v>1196</v>
      </c>
      <c r="S56" s="128" t="s">
        <v>1197</v>
      </c>
      <c r="T56" s="227" t="s">
        <v>1198</v>
      </c>
      <c r="U56" s="227" t="s">
        <v>1199</v>
      </c>
      <c r="W56" s="17">
        <v>2021</v>
      </c>
    </row>
    <row r="57" spans="1:23" ht="35.5" customHeight="1" x14ac:dyDescent="0.35">
      <c r="A57" s="41">
        <v>55</v>
      </c>
      <c r="B57" s="371" t="str">
        <f>+VLOOKUP(C57,'Applications List'!$B$4:$E$181,4,FALSE)</f>
        <v>Technology</v>
      </c>
      <c r="C57" s="133" t="s">
        <v>70</v>
      </c>
      <c r="D57" s="132" t="s">
        <v>272</v>
      </c>
      <c r="E57" s="135" t="s">
        <v>1200</v>
      </c>
      <c r="F57" s="136" t="s">
        <v>1201</v>
      </c>
      <c r="H57" s="128" t="s">
        <v>1202</v>
      </c>
      <c r="I57" s="128" t="s">
        <v>533</v>
      </c>
      <c r="J57" s="127" t="s">
        <v>572</v>
      </c>
      <c r="K57" s="128" t="s">
        <v>1203</v>
      </c>
      <c r="L57" s="127" t="s">
        <v>519</v>
      </c>
      <c r="M57" s="128" t="s">
        <v>574</v>
      </c>
      <c r="N57" s="128" t="s">
        <v>1204</v>
      </c>
      <c r="O57" s="128" t="s">
        <v>1150</v>
      </c>
      <c r="P57" s="128" t="s">
        <v>1205</v>
      </c>
      <c r="Q57" s="128" t="s">
        <v>1206</v>
      </c>
      <c r="R57" s="128" t="s">
        <v>1207</v>
      </c>
      <c r="S57" s="128" t="s">
        <v>1208</v>
      </c>
      <c r="T57" s="227" t="s">
        <v>1209</v>
      </c>
      <c r="U57" s="227" t="s">
        <v>3226</v>
      </c>
      <c r="W57" s="17">
        <v>2022</v>
      </c>
    </row>
    <row r="58" spans="1:23" ht="31.5" customHeight="1" x14ac:dyDescent="0.35">
      <c r="A58" s="41">
        <v>56</v>
      </c>
      <c r="B58" s="371" t="str">
        <f>+VLOOKUP(C58,'Applications List'!$B$4:$E$181,4,FALSE)</f>
        <v>Technology</v>
      </c>
      <c r="C58" s="133" t="s">
        <v>74</v>
      </c>
      <c r="D58" s="132" t="s">
        <v>326</v>
      </c>
      <c r="E58" s="135" t="s">
        <v>1210</v>
      </c>
      <c r="F58" s="136" t="s">
        <v>3227</v>
      </c>
      <c r="H58" s="128" t="s">
        <v>1211</v>
      </c>
      <c r="I58" s="128" t="s">
        <v>2805</v>
      </c>
      <c r="J58" s="128" t="s">
        <v>721</v>
      </c>
      <c r="K58" s="128" t="s">
        <v>1212</v>
      </c>
      <c r="L58" s="127" t="s">
        <v>519</v>
      </c>
      <c r="M58" s="128" t="s">
        <v>574</v>
      </c>
      <c r="N58" s="128" t="s">
        <v>1213</v>
      </c>
      <c r="O58" s="128" t="s">
        <v>1214</v>
      </c>
      <c r="P58" s="128" t="s">
        <v>1215</v>
      </c>
      <c r="Q58" s="128" t="s">
        <v>1216</v>
      </c>
      <c r="R58" s="128" t="s">
        <v>1217</v>
      </c>
      <c r="S58" s="128" t="s">
        <v>1218</v>
      </c>
      <c r="T58" s="227" t="s">
        <v>1219</v>
      </c>
      <c r="U58" s="227" t="s">
        <v>1220</v>
      </c>
      <c r="W58" s="17">
        <v>2020</v>
      </c>
    </row>
    <row r="59" spans="1:23" ht="35.5" customHeight="1" x14ac:dyDescent="0.35">
      <c r="A59" s="41">
        <v>57</v>
      </c>
      <c r="B59" s="371" t="str">
        <f>+VLOOKUP(C59,'Applications List'!$B$4:$E$181,4,FALSE)</f>
        <v>Technology</v>
      </c>
      <c r="C59" s="133" t="s">
        <v>70</v>
      </c>
      <c r="D59" s="132" t="s">
        <v>275</v>
      </c>
      <c r="E59" s="135" t="s">
        <v>1221</v>
      </c>
      <c r="F59" s="136" t="s">
        <v>1222</v>
      </c>
      <c r="G59" s="128"/>
      <c r="H59" s="128" t="s">
        <v>1223</v>
      </c>
      <c r="I59" s="128" t="s">
        <v>3228</v>
      </c>
      <c r="J59" s="128" t="s">
        <v>1224</v>
      </c>
      <c r="K59" s="128" t="s">
        <v>1225</v>
      </c>
      <c r="L59" s="127" t="s">
        <v>519</v>
      </c>
      <c r="M59" s="128" t="s">
        <v>574</v>
      </c>
      <c r="N59" s="128" t="s">
        <v>1226</v>
      </c>
      <c r="O59" s="128" t="s">
        <v>1227</v>
      </c>
      <c r="P59" s="128" t="s">
        <v>1228</v>
      </c>
      <c r="Q59" s="128" t="s">
        <v>1229</v>
      </c>
      <c r="R59" s="128" t="s">
        <v>1230</v>
      </c>
      <c r="S59" s="128" t="s">
        <v>1231</v>
      </c>
      <c r="T59" s="233" t="s">
        <v>1232</v>
      </c>
      <c r="U59" s="233" t="s">
        <v>1233</v>
      </c>
      <c r="V59" s="128"/>
      <c r="W59" s="17">
        <v>2019</v>
      </c>
    </row>
    <row r="60" spans="1:23" ht="33.65" customHeight="1" x14ac:dyDescent="0.35">
      <c r="A60" s="41">
        <v>58</v>
      </c>
      <c r="B60" s="371" t="str">
        <f>+VLOOKUP(C60,'Applications List'!$B$4:$E$181,4,FALSE)</f>
        <v>Technology</v>
      </c>
      <c r="C60" s="133" t="s">
        <v>70</v>
      </c>
      <c r="D60" s="132" t="s">
        <v>278</v>
      </c>
      <c r="E60" s="135" t="s">
        <v>1236</v>
      </c>
      <c r="F60" s="136" t="s">
        <v>3229</v>
      </c>
      <c r="G60" s="128"/>
      <c r="H60" s="128" t="s">
        <v>1238</v>
      </c>
      <c r="I60" s="128" t="s">
        <v>533</v>
      </c>
      <c r="J60" s="128" t="s">
        <v>1239</v>
      </c>
      <c r="K60" s="128" t="s">
        <v>1240</v>
      </c>
      <c r="L60" s="127" t="s">
        <v>519</v>
      </c>
      <c r="M60" s="128" t="s">
        <v>574</v>
      </c>
      <c r="N60" s="128" t="s">
        <v>1234</v>
      </c>
      <c r="O60" s="128" t="s">
        <v>1241</v>
      </c>
      <c r="P60" s="128" t="s">
        <v>1242</v>
      </c>
      <c r="Q60" s="128" t="s">
        <v>1243</v>
      </c>
      <c r="R60" s="128" t="s">
        <v>1235</v>
      </c>
      <c r="S60" s="128" t="s">
        <v>1244</v>
      </c>
      <c r="T60" s="233" t="s">
        <v>1245</v>
      </c>
      <c r="U60" s="233" t="s">
        <v>1246</v>
      </c>
      <c r="V60" s="128"/>
      <c r="W60" s="17">
        <v>2021</v>
      </c>
    </row>
    <row r="61" spans="1:23" ht="35.5" customHeight="1" x14ac:dyDescent="0.35">
      <c r="A61" s="41">
        <v>59</v>
      </c>
      <c r="B61" s="371" t="str">
        <f>+VLOOKUP(C61,'Applications List'!$B$4:$E$181,4,FALSE)</f>
        <v>Technology</v>
      </c>
      <c r="C61" s="133" t="s">
        <v>70</v>
      </c>
      <c r="D61" s="132" t="s">
        <v>278</v>
      </c>
      <c r="E61" s="135" t="s">
        <v>1247</v>
      </c>
      <c r="F61" s="136" t="s">
        <v>3231</v>
      </c>
      <c r="G61" s="128"/>
      <c r="H61" s="128" t="s">
        <v>3232</v>
      </c>
      <c r="I61" s="128" t="s">
        <v>3155</v>
      </c>
      <c r="J61" s="128" t="s">
        <v>1147</v>
      </c>
      <c r="K61" s="128" t="s">
        <v>3233</v>
      </c>
      <c r="L61" s="127" t="s">
        <v>519</v>
      </c>
      <c r="M61" s="128" t="s">
        <v>574</v>
      </c>
      <c r="N61" s="128" t="s">
        <v>1248</v>
      </c>
      <c r="O61" s="128" t="s">
        <v>1241</v>
      </c>
      <c r="P61" s="128" t="s">
        <v>1249</v>
      </c>
      <c r="Q61" s="128" t="s">
        <v>1250</v>
      </c>
      <c r="R61" s="128" t="s">
        <v>1251</v>
      </c>
      <c r="S61" s="128" t="s">
        <v>1252</v>
      </c>
      <c r="T61" s="233" t="s">
        <v>1253</v>
      </c>
      <c r="U61" s="233" t="s">
        <v>3230</v>
      </c>
      <c r="V61" s="128"/>
      <c r="W61" s="17">
        <v>2017</v>
      </c>
    </row>
    <row r="62" spans="1:23" ht="37.5" customHeight="1" x14ac:dyDescent="0.35">
      <c r="A62" s="41">
        <v>60</v>
      </c>
      <c r="B62" s="371" t="str">
        <f>+VLOOKUP(C62,'Applications List'!$B$4:$E$181,4,FALSE)</f>
        <v>Technology</v>
      </c>
      <c r="C62" s="133" t="s">
        <v>70</v>
      </c>
      <c r="D62" s="132" t="s">
        <v>278</v>
      </c>
      <c r="E62" s="135" t="s">
        <v>1254</v>
      </c>
      <c r="F62" s="136" t="s">
        <v>1255</v>
      </c>
      <c r="G62" s="128"/>
      <c r="H62" s="128" t="s">
        <v>1256</v>
      </c>
      <c r="I62" s="128" t="s">
        <v>1257</v>
      </c>
      <c r="J62" s="128" t="s">
        <v>721</v>
      </c>
      <c r="K62" s="128" t="s">
        <v>1258</v>
      </c>
      <c r="L62" s="127" t="s">
        <v>519</v>
      </c>
      <c r="M62" s="128" t="s">
        <v>574</v>
      </c>
      <c r="N62" s="128" t="s">
        <v>1259</v>
      </c>
      <c r="O62" s="128" t="s">
        <v>1260</v>
      </c>
      <c r="P62" s="128" t="s">
        <v>1261</v>
      </c>
      <c r="Q62" s="128" t="s">
        <v>1262</v>
      </c>
      <c r="R62" s="128" t="s">
        <v>1263</v>
      </c>
      <c r="S62" s="128" t="s">
        <v>1252</v>
      </c>
      <c r="T62" s="233" t="s">
        <v>1264</v>
      </c>
      <c r="U62" s="233" t="s">
        <v>1265</v>
      </c>
      <c r="V62" s="128"/>
      <c r="W62" s="17">
        <v>2024</v>
      </c>
    </row>
    <row r="63" spans="1:23" ht="36.65" customHeight="1" x14ac:dyDescent="0.35">
      <c r="A63" s="41">
        <v>61</v>
      </c>
      <c r="B63" s="371" t="str">
        <f>+VLOOKUP(C63,'Applications List'!$B$4:$E$181,4,FALSE)</f>
        <v>Technology</v>
      </c>
      <c r="C63" s="133" t="s">
        <v>70</v>
      </c>
      <c r="D63" s="132" t="s">
        <v>278</v>
      </c>
      <c r="E63" s="135" t="s">
        <v>1266</v>
      </c>
      <c r="F63" s="136" t="s">
        <v>3235</v>
      </c>
      <c r="G63" s="128" t="s">
        <v>1267</v>
      </c>
      <c r="H63" s="128" t="s">
        <v>1268</v>
      </c>
      <c r="I63" s="128" t="s">
        <v>533</v>
      </c>
      <c r="J63" s="128" t="s">
        <v>721</v>
      </c>
      <c r="K63" s="128" t="s">
        <v>1269</v>
      </c>
      <c r="L63" s="127" t="s">
        <v>519</v>
      </c>
      <c r="M63" s="128" t="s">
        <v>549</v>
      </c>
      <c r="N63" s="128" t="s">
        <v>1270</v>
      </c>
      <c r="O63" s="128" t="s">
        <v>1260</v>
      </c>
      <c r="P63" s="128" t="s">
        <v>1271</v>
      </c>
      <c r="Q63" s="128" t="s">
        <v>1272</v>
      </c>
      <c r="R63" s="128" t="s">
        <v>1273</v>
      </c>
      <c r="S63" s="128" t="s">
        <v>1274</v>
      </c>
      <c r="T63" s="233" t="s">
        <v>1275</v>
      </c>
      <c r="U63" s="233" t="s">
        <v>3234</v>
      </c>
      <c r="V63" s="128"/>
      <c r="W63" s="17">
        <v>2021</v>
      </c>
    </row>
    <row r="64" spans="1:23" ht="42" customHeight="1" x14ac:dyDescent="0.35">
      <c r="A64" s="41">
        <v>62</v>
      </c>
      <c r="B64" s="371" t="str">
        <f>+VLOOKUP(C64,'Applications List'!$B$4:$E$181,4,FALSE)</f>
        <v>Technology</v>
      </c>
      <c r="C64" s="133" t="s">
        <v>70</v>
      </c>
      <c r="D64" s="132" t="s">
        <v>281</v>
      </c>
      <c r="E64" s="135" t="s">
        <v>1276</v>
      </c>
      <c r="F64" s="136" t="s">
        <v>1277</v>
      </c>
      <c r="G64" s="128" t="s">
        <v>1278</v>
      </c>
      <c r="H64" s="128" t="s">
        <v>1279</v>
      </c>
      <c r="I64" s="128" t="s">
        <v>3156</v>
      </c>
      <c r="J64" s="128" t="s">
        <v>572</v>
      </c>
      <c r="K64" s="128" t="s">
        <v>1280</v>
      </c>
      <c r="L64" s="127" t="s">
        <v>1281</v>
      </c>
      <c r="M64" s="128" t="s">
        <v>1282</v>
      </c>
      <c r="N64" s="128" t="s">
        <v>1283</v>
      </c>
      <c r="O64" s="128" t="s">
        <v>1284</v>
      </c>
      <c r="P64" s="128" t="s">
        <v>1285</v>
      </c>
      <c r="Q64" s="128" t="s">
        <v>1286</v>
      </c>
      <c r="R64" s="128" t="s">
        <v>1287</v>
      </c>
      <c r="S64" s="128" t="s">
        <v>1288</v>
      </c>
      <c r="T64" s="233" t="s">
        <v>1289</v>
      </c>
      <c r="U64" s="233" t="s">
        <v>1290</v>
      </c>
      <c r="V64" s="128"/>
      <c r="W64" s="17">
        <v>2018</v>
      </c>
    </row>
    <row r="65" spans="1:23" ht="37" customHeight="1" x14ac:dyDescent="0.35">
      <c r="A65" s="41">
        <v>63</v>
      </c>
      <c r="B65" s="371" t="str">
        <f>+VLOOKUP(C65,'Applications List'!$B$4:$E$181,4,FALSE)</f>
        <v>Technology</v>
      </c>
      <c r="C65" s="133" t="s">
        <v>70</v>
      </c>
      <c r="D65" s="132" t="s">
        <v>281</v>
      </c>
      <c r="E65" s="135" t="s">
        <v>1291</v>
      </c>
      <c r="F65" s="136" t="s">
        <v>1292</v>
      </c>
      <c r="G65" s="128"/>
      <c r="H65" s="128" t="s">
        <v>1293</v>
      </c>
      <c r="I65" s="128" t="s">
        <v>3157</v>
      </c>
      <c r="J65" s="128" t="s">
        <v>1134</v>
      </c>
      <c r="K65" s="128" t="s">
        <v>1295</v>
      </c>
      <c r="L65" s="127" t="s">
        <v>519</v>
      </c>
      <c r="M65" s="128" t="s">
        <v>574</v>
      </c>
      <c r="N65" s="128" t="s">
        <v>1296</v>
      </c>
      <c r="O65" s="128" t="s">
        <v>1297</v>
      </c>
      <c r="P65" s="128" t="s">
        <v>1298</v>
      </c>
      <c r="Q65" s="128" t="s">
        <v>1299</v>
      </c>
      <c r="R65" s="128" t="s">
        <v>1300</v>
      </c>
      <c r="S65" s="128" t="s">
        <v>1301</v>
      </c>
      <c r="T65" s="227" t="s">
        <v>1302</v>
      </c>
      <c r="U65" s="227" t="s">
        <v>1303</v>
      </c>
      <c r="V65" s="128"/>
      <c r="W65" s="17">
        <v>2022</v>
      </c>
    </row>
    <row r="66" spans="1:23" ht="87" x14ac:dyDescent="0.35">
      <c r="A66" s="41">
        <v>64</v>
      </c>
      <c r="B66" s="371" t="str">
        <f>+VLOOKUP(C66,'Applications List'!$B$4:$E$181,4,FALSE)</f>
        <v>Technology</v>
      </c>
      <c r="C66" s="133" t="s">
        <v>74</v>
      </c>
      <c r="D66" s="132" t="s">
        <v>321</v>
      </c>
      <c r="E66" s="135" t="s">
        <v>1304</v>
      </c>
      <c r="F66" s="136" t="s">
        <v>1305</v>
      </c>
      <c r="G66" s="128"/>
      <c r="H66" s="128" t="s">
        <v>1306</v>
      </c>
      <c r="I66" s="128" t="s">
        <v>600</v>
      </c>
      <c r="J66" s="128" t="s">
        <v>1307</v>
      </c>
      <c r="K66" s="128" t="s">
        <v>1308</v>
      </c>
      <c r="L66" s="127" t="s">
        <v>519</v>
      </c>
      <c r="M66" s="128" t="s">
        <v>549</v>
      </c>
      <c r="N66" s="128" t="s">
        <v>1309</v>
      </c>
      <c r="O66" s="128" t="s">
        <v>1310</v>
      </c>
      <c r="P66" s="128" t="s">
        <v>1311</v>
      </c>
      <c r="Q66" s="128" t="s">
        <v>1312</v>
      </c>
      <c r="R66" s="128" t="s">
        <v>1313</v>
      </c>
      <c r="S66" s="128" t="s">
        <v>1314</v>
      </c>
      <c r="T66" s="138" t="s">
        <v>1315</v>
      </c>
      <c r="U66" s="138" t="s">
        <v>1316</v>
      </c>
      <c r="V66" s="128"/>
      <c r="W66" s="17">
        <v>2014</v>
      </c>
    </row>
    <row r="67" spans="1:23" ht="116" x14ac:dyDescent="0.35">
      <c r="A67" s="41">
        <v>65</v>
      </c>
      <c r="B67" s="371" t="str">
        <f>+VLOOKUP(C67,'Applications List'!$B$4:$E$181,4,FALSE)</f>
        <v>Technology</v>
      </c>
      <c r="C67" s="133" t="s">
        <v>74</v>
      </c>
      <c r="D67" s="132" t="s">
        <v>321</v>
      </c>
      <c r="E67" s="135" t="s">
        <v>1317</v>
      </c>
      <c r="F67" s="136" t="s">
        <v>1305</v>
      </c>
      <c r="G67" s="128"/>
      <c r="H67" s="128" t="s">
        <v>1318</v>
      </c>
      <c r="I67" s="128" t="s">
        <v>600</v>
      </c>
      <c r="J67" s="128" t="s">
        <v>721</v>
      </c>
      <c r="K67" s="128" t="s">
        <v>1319</v>
      </c>
      <c r="L67" s="127" t="s">
        <v>519</v>
      </c>
      <c r="M67" s="128" t="s">
        <v>549</v>
      </c>
      <c r="N67" s="128" t="s">
        <v>1320</v>
      </c>
      <c r="O67" s="128" t="s">
        <v>1310</v>
      </c>
      <c r="P67" s="128" t="s">
        <v>1321</v>
      </c>
      <c r="Q67" s="128" t="s">
        <v>1322</v>
      </c>
      <c r="R67" s="128" t="s">
        <v>1323</v>
      </c>
      <c r="S67" s="128" t="s">
        <v>1324</v>
      </c>
      <c r="T67" s="138" t="s">
        <v>1325</v>
      </c>
      <c r="U67" s="138" t="s">
        <v>1326</v>
      </c>
      <c r="V67" s="128"/>
      <c r="W67" s="17">
        <v>2014</v>
      </c>
    </row>
    <row r="68" spans="1:23" ht="87" x14ac:dyDescent="0.35">
      <c r="A68" s="41">
        <v>66</v>
      </c>
      <c r="B68" s="371" t="str">
        <f>+VLOOKUP(C68,'Applications List'!$B$4:$E$181,4,FALSE)</f>
        <v>Technology</v>
      </c>
      <c r="C68" s="133" t="s">
        <v>74</v>
      </c>
      <c r="D68" s="132" t="s">
        <v>321</v>
      </c>
      <c r="E68" s="135" t="s">
        <v>1327</v>
      </c>
      <c r="F68" s="136" t="s">
        <v>1305</v>
      </c>
      <c r="G68" s="128"/>
      <c r="H68" s="128" t="s">
        <v>1328</v>
      </c>
      <c r="I68" s="128" t="s">
        <v>600</v>
      </c>
      <c r="J68" s="128" t="s">
        <v>1307</v>
      </c>
      <c r="K68" s="128" t="s">
        <v>1329</v>
      </c>
      <c r="L68" s="127" t="s">
        <v>519</v>
      </c>
      <c r="M68" s="128" t="s">
        <v>549</v>
      </c>
      <c r="N68" s="128" t="s">
        <v>1330</v>
      </c>
      <c r="O68" s="128" t="s">
        <v>1310</v>
      </c>
      <c r="P68" s="128" t="s">
        <v>1331</v>
      </c>
      <c r="Q68" s="128" t="s">
        <v>1332</v>
      </c>
      <c r="R68" s="128" t="s">
        <v>1333</v>
      </c>
      <c r="S68" s="128" t="s">
        <v>1334</v>
      </c>
      <c r="T68" s="138" t="s">
        <v>1335</v>
      </c>
      <c r="U68" s="138" t="s">
        <v>1336</v>
      </c>
      <c r="V68" s="128"/>
      <c r="W68" s="17">
        <v>2018</v>
      </c>
    </row>
    <row r="69" spans="1:23" ht="87" x14ac:dyDescent="0.35">
      <c r="A69" s="41">
        <v>67</v>
      </c>
      <c r="B69" s="371" t="str">
        <f>+VLOOKUP(C69,'Applications List'!$B$4:$E$181,4,FALSE)</f>
        <v>Technology</v>
      </c>
      <c r="C69" s="133" t="s">
        <v>74</v>
      </c>
      <c r="D69" s="132" t="s">
        <v>324</v>
      </c>
      <c r="E69" s="135" t="s">
        <v>1337</v>
      </c>
      <c r="F69" s="136" t="s">
        <v>1338</v>
      </c>
      <c r="G69" s="128" t="s">
        <v>1339</v>
      </c>
      <c r="H69" s="128" t="s">
        <v>1340</v>
      </c>
      <c r="I69" s="128" t="s">
        <v>1341</v>
      </c>
      <c r="J69" s="128" t="s">
        <v>1307</v>
      </c>
      <c r="K69" s="128" t="s">
        <v>1342</v>
      </c>
      <c r="L69" s="127" t="s">
        <v>519</v>
      </c>
      <c r="M69" s="128" t="s">
        <v>753</v>
      </c>
      <c r="N69" s="128" t="s">
        <v>1343</v>
      </c>
      <c r="O69" s="128" t="s">
        <v>1310</v>
      </c>
      <c r="P69" s="128" t="s">
        <v>1344</v>
      </c>
      <c r="Q69" s="128" t="s">
        <v>1345</v>
      </c>
      <c r="R69" s="128" t="s">
        <v>1346</v>
      </c>
      <c r="S69" s="128" t="s">
        <v>1347</v>
      </c>
      <c r="T69" s="138" t="s">
        <v>1348</v>
      </c>
      <c r="U69" s="138" t="s">
        <v>1349</v>
      </c>
      <c r="V69" s="128"/>
      <c r="W69" s="17">
        <v>2002</v>
      </c>
    </row>
    <row r="70" spans="1:23" ht="72.5" x14ac:dyDescent="0.35">
      <c r="A70" s="41">
        <v>68</v>
      </c>
      <c r="B70" s="371" t="str">
        <f>+VLOOKUP(C70,'Applications List'!$B$4:$E$181,4,FALSE)</f>
        <v>Technology</v>
      </c>
      <c r="C70" s="133" t="s">
        <v>74</v>
      </c>
      <c r="D70" s="132" t="s">
        <v>324</v>
      </c>
      <c r="E70" s="135" t="s">
        <v>1350</v>
      </c>
      <c r="F70" s="136" t="s">
        <v>619</v>
      </c>
      <c r="G70" s="128" t="s">
        <v>1351</v>
      </c>
      <c r="H70" s="128" t="s">
        <v>1352</v>
      </c>
      <c r="I70" s="128" t="s">
        <v>1353</v>
      </c>
      <c r="J70" s="128" t="s">
        <v>1224</v>
      </c>
      <c r="K70" s="128" t="s">
        <v>1354</v>
      </c>
      <c r="L70" s="127" t="s">
        <v>519</v>
      </c>
      <c r="M70" s="128" t="s">
        <v>1355</v>
      </c>
      <c r="N70" s="128" t="s">
        <v>575</v>
      </c>
      <c r="O70" s="128" t="s">
        <v>1356</v>
      </c>
      <c r="P70" s="128" t="s">
        <v>1357</v>
      </c>
      <c r="Q70" s="128" t="s">
        <v>1358</v>
      </c>
      <c r="R70" s="128" t="s">
        <v>1359</v>
      </c>
      <c r="S70" s="128" t="s">
        <v>1360</v>
      </c>
      <c r="T70" s="138" t="s">
        <v>1361</v>
      </c>
      <c r="U70" s="138" t="s">
        <v>1362</v>
      </c>
      <c r="V70" s="128"/>
      <c r="W70" s="17">
        <v>2020</v>
      </c>
    </row>
    <row r="71" spans="1:23" ht="72.5" x14ac:dyDescent="0.35">
      <c r="A71" s="41">
        <v>69</v>
      </c>
      <c r="B71" s="371" t="str">
        <f>+VLOOKUP(C71,'Applications List'!$B$4:$E$181,4,FALSE)</f>
        <v>Technology</v>
      </c>
      <c r="C71" s="133" t="s">
        <v>74</v>
      </c>
      <c r="D71" s="132" t="s">
        <v>324</v>
      </c>
      <c r="E71" s="135" t="s">
        <v>1363</v>
      </c>
      <c r="F71" s="136" t="s">
        <v>1364</v>
      </c>
      <c r="G71" s="128"/>
      <c r="H71" s="128" t="s">
        <v>1365</v>
      </c>
      <c r="I71" s="128" t="s">
        <v>1366</v>
      </c>
      <c r="J71" s="128" t="s">
        <v>1307</v>
      </c>
      <c r="K71" s="128" t="s">
        <v>1367</v>
      </c>
      <c r="L71" s="127" t="s">
        <v>519</v>
      </c>
      <c r="M71" s="128" t="s">
        <v>588</v>
      </c>
      <c r="N71" s="128" t="s">
        <v>1343</v>
      </c>
      <c r="O71" s="128" t="s">
        <v>1310</v>
      </c>
      <c r="P71" s="128" t="s">
        <v>1368</v>
      </c>
      <c r="Q71" s="128" t="s">
        <v>1369</v>
      </c>
      <c r="R71" s="128" t="s">
        <v>1370</v>
      </c>
      <c r="S71" s="128" t="s">
        <v>1371</v>
      </c>
      <c r="T71" s="138" t="s">
        <v>1372</v>
      </c>
      <c r="U71" s="138" t="s">
        <v>1373</v>
      </c>
      <c r="V71" s="128"/>
      <c r="W71" s="17">
        <v>2018</v>
      </c>
    </row>
    <row r="72" spans="1:23" ht="58" x14ac:dyDescent="0.35">
      <c r="A72" s="41">
        <v>70</v>
      </c>
      <c r="B72" s="371" t="str">
        <f>+VLOOKUP(C72,'Applications List'!$B$4:$E$181,4,FALSE)</f>
        <v>Technology</v>
      </c>
      <c r="C72" s="133" t="s">
        <v>74</v>
      </c>
      <c r="D72" s="132" t="s">
        <v>324</v>
      </c>
      <c r="E72" s="135" t="s">
        <v>1374</v>
      </c>
      <c r="F72" s="136" t="s">
        <v>1375</v>
      </c>
      <c r="G72" s="128" t="s">
        <v>1376</v>
      </c>
      <c r="H72" s="128" t="s">
        <v>1377</v>
      </c>
      <c r="I72" s="128" t="s">
        <v>1378</v>
      </c>
      <c r="J72" s="128" t="s">
        <v>721</v>
      </c>
      <c r="K72" s="128" t="s">
        <v>1379</v>
      </c>
      <c r="L72" s="127" t="s">
        <v>519</v>
      </c>
      <c r="M72" s="128" t="s">
        <v>1380</v>
      </c>
      <c r="N72" s="128" t="s">
        <v>575</v>
      </c>
      <c r="O72" s="128" t="s">
        <v>1381</v>
      </c>
      <c r="P72" s="128" t="s">
        <v>1382</v>
      </c>
      <c r="Q72" s="128" t="s">
        <v>1383</v>
      </c>
      <c r="R72" s="128" t="s">
        <v>1384</v>
      </c>
      <c r="S72" s="128" t="s">
        <v>1385</v>
      </c>
      <c r="T72" s="138" t="s">
        <v>1386</v>
      </c>
      <c r="U72" s="138" t="s">
        <v>1387</v>
      </c>
      <c r="V72" s="128"/>
      <c r="W72" s="17">
        <v>1994</v>
      </c>
    </row>
    <row r="73" spans="1:23" ht="58" x14ac:dyDescent="0.35">
      <c r="A73" s="41">
        <v>71</v>
      </c>
      <c r="B73" s="371" t="str">
        <f>+VLOOKUP(C73,'Applications List'!$B$4:$E$181,4,FALSE)</f>
        <v>Technology</v>
      </c>
      <c r="C73" s="133" t="s">
        <v>74</v>
      </c>
      <c r="D73" s="132" t="s">
        <v>324</v>
      </c>
      <c r="E73" s="135" t="s">
        <v>1388</v>
      </c>
      <c r="F73" s="136" t="s">
        <v>1389</v>
      </c>
      <c r="G73" s="128"/>
      <c r="H73" s="128" t="s">
        <v>1390</v>
      </c>
      <c r="I73" s="128" t="s">
        <v>600</v>
      </c>
      <c r="J73" s="128" t="s">
        <v>1134</v>
      </c>
      <c r="K73" s="128" t="s">
        <v>1391</v>
      </c>
      <c r="L73" s="127" t="s">
        <v>519</v>
      </c>
      <c r="M73" s="128" t="s">
        <v>753</v>
      </c>
      <c r="N73" s="128" t="s">
        <v>575</v>
      </c>
      <c r="O73" s="128" t="s">
        <v>1392</v>
      </c>
      <c r="P73" s="128" t="s">
        <v>1393</v>
      </c>
      <c r="Q73" s="128" t="s">
        <v>1394</v>
      </c>
      <c r="R73" s="128" t="s">
        <v>1395</v>
      </c>
      <c r="S73" s="128" t="s">
        <v>1396</v>
      </c>
      <c r="T73" s="138" t="s">
        <v>1397</v>
      </c>
      <c r="U73" s="138" t="s">
        <v>1398</v>
      </c>
      <c r="V73" s="128"/>
      <c r="W73" s="17">
        <v>2003</v>
      </c>
    </row>
    <row r="74" spans="1:23" ht="35.5" customHeight="1" x14ac:dyDescent="0.35">
      <c r="A74" s="41">
        <v>72</v>
      </c>
      <c r="B74" s="371" t="str">
        <f>+VLOOKUP(C74,'Applications List'!$B$4:$E$181,4,FALSE)</f>
        <v>Technology</v>
      </c>
      <c r="C74" s="133" t="s">
        <v>74</v>
      </c>
      <c r="D74" s="132" t="s">
        <v>326</v>
      </c>
      <c r="E74" s="135" t="s">
        <v>1399</v>
      </c>
      <c r="F74" s="136" t="s">
        <v>1400</v>
      </c>
      <c r="G74" s="128"/>
      <c r="H74" s="128" t="s">
        <v>1401</v>
      </c>
      <c r="I74" s="128" t="s">
        <v>3244</v>
      </c>
      <c r="J74" s="128" t="s">
        <v>721</v>
      </c>
      <c r="K74" s="128" t="s">
        <v>1403</v>
      </c>
      <c r="L74" s="127" t="s">
        <v>519</v>
      </c>
      <c r="M74" s="128" t="s">
        <v>1107</v>
      </c>
      <c r="N74" s="128" t="s">
        <v>1343</v>
      </c>
      <c r="O74" s="128" t="s">
        <v>1404</v>
      </c>
      <c r="P74" s="128" t="s">
        <v>1405</v>
      </c>
      <c r="Q74" s="128" t="s">
        <v>1406</v>
      </c>
      <c r="R74" s="128" t="s">
        <v>1407</v>
      </c>
      <c r="S74" s="128" t="s">
        <v>1408</v>
      </c>
      <c r="T74" s="227" t="s">
        <v>1409</v>
      </c>
      <c r="U74" s="227" t="s">
        <v>1410</v>
      </c>
      <c r="V74" s="128"/>
      <c r="W74" s="17">
        <v>2017</v>
      </c>
    </row>
    <row r="75" spans="1:23" ht="33" customHeight="1" x14ac:dyDescent="0.35">
      <c r="A75" s="41">
        <v>73</v>
      </c>
      <c r="B75" s="371" t="str">
        <f>+VLOOKUP(C75,'Applications List'!$B$4:$E$181,4,FALSE)</f>
        <v>Technology</v>
      </c>
      <c r="C75" s="133" t="s">
        <v>74</v>
      </c>
      <c r="D75" s="132" t="s">
        <v>326</v>
      </c>
      <c r="E75" s="135" t="s">
        <v>1411</v>
      </c>
      <c r="F75" s="136" t="s">
        <v>1412</v>
      </c>
      <c r="G75" s="128" t="s">
        <v>3245</v>
      </c>
      <c r="H75" s="128" t="s">
        <v>1413</v>
      </c>
      <c r="I75" s="128" t="s">
        <v>3246</v>
      </c>
      <c r="J75" s="128" t="s">
        <v>1414</v>
      </c>
      <c r="K75" s="128" t="s">
        <v>1415</v>
      </c>
      <c r="L75" s="127" t="s">
        <v>519</v>
      </c>
      <c r="M75" s="128" t="s">
        <v>549</v>
      </c>
      <c r="N75" s="128" t="s">
        <v>575</v>
      </c>
      <c r="O75" s="128" t="s">
        <v>1416</v>
      </c>
      <c r="P75" s="128" t="s">
        <v>1417</v>
      </c>
      <c r="Q75" s="128" t="s">
        <v>1418</v>
      </c>
      <c r="R75" s="128" t="s">
        <v>1419</v>
      </c>
      <c r="S75" s="128" t="s">
        <v>1420</v>
      </c>
      <c r="T75" s="227" t="s">
        <v>1421</v>
      </c>
      <c r="U75" s="227" t="s">
        <v>1422</v>
      </c>
      <c r="V75" s="128"/>
      <c r="W75" s="17">
        <v>2016</v>
      </c>
    </row>
    <row r="76" spans="1:23" ht="31.5" customHeight="1" x14ac:dyDescent="0.35">
      <c r="A76" s="41">
        <v>74</v>
      </c>
      <c r="B76" s="371" t="str">
        <f>+VLOOKUP(C76,'Applications List'!$B$4:$E$181,4,FALSE)</f>
        <v>Technology</v>
      </c>
      <c r="C76" s="133" t="s">
        <v>74</v>
      </c>
      <c r="D76" s="132" t="s">
        <v>3247</v>
      </c>
      <c r="E76" s="135" t="s">
        <v>1423</v>
      </c>
      <c r="F76" s="136" t="s">
        <v>1424</v>
      </c>
      <c r="G76" s="128" t="s">
        <v>1425</v>
      </c>
      <c r="H76" s="128" t="s">
        <v>1426</v>
      </c>
      <c r="I76" s="128" t="s">
        <v>3248</v>
      </c>
      <c r="J76" s="128" t="s">
        <v>1414</v>
      </c>
      <c r="K76" s="128" t="s">
        <v>1427</v>
      </c>
      <c r="L76" s="127" t="s">
        <v>3249</v>
      </c>
      <c r="M76" s="128" t="s">
        <v>738</v>
      </c>
      <c r="N76" s="128" t="s">
        <v>1429</v>
      </c>
      <c r="O76" s="128" t="s">
        <v>1430</v>
      </c>
      <c r="P76" s="128" t="s">
        <v>1431</v>
      </c>
      <c r="Q76" s="128" t="s">
        <v>1432</v>
      </c>
      <c r="R76" s="128" t="s">
        <v>1433</v>
      </c>
      <c r="S76" s="128" t="s">
        <v>1434</v>
      </c>
      <c r="T76" s="227" t="s">
        <v>1435</v>
      </c>
      <c r="U76" s="227" t="s">
        <v>1436</v>
      </c>
      <c r="V76" s="128"/>
      <c r="W76" s="17">
        <v>2014</v>
      </c>
    </row>
    <row r="77" spans="1:23" ht="34.5" customHeight="1" x14ac:dyDescent="0.35">
      <c r="A77" s="41">
        <v>75</v>
      </c>
      <c r="B77" s="371" t="str">
        <f>+VLOOKUP(C77,'Applications List'!$B$4:$E$181,4,FALSE)</f>
        <v>Technology</v>
      </c>
      <c r="C77" s="133" t="s">
        <v>74</v>
      </c>
      <c r="D77" s="132" t="s">
        <v>3247</v>
      </c>
      <c r="E77" s="135" t="s">
        <v>1437</v>
      </c>
      <c r="F77" s="136" t="s">
        <v>1305</v>
      </c>
      <c r="G77" s="128"/>
      <c r="H77" s="128" t="s">
        <v>3250</v>
      </c>
      <c r="I77" s="128" t="s">
        <v>3251</v>
      </c>
      <c r="J77" s="128" t="s">
        <v>1414</v>
      </c>
      <c r="K77" s="128" t="s">
        <v>1438</v>
      </c>
      <c r="L77" s="127" t="s">
        <v>519</v>
      </c>
      <c r="M77" s="128" t="s">
        <v>549</v>
      </c>
      <c r="N77" s="128" t="s">
        <v>1439</v>
      </c>
      <c r="O77" s="128" t="s">
        <v>1440</v>
      </c>
      <c r="P77" s="128" t="s">
        <v>1441</v>
      </c>
      <c r="Q77" s="128" t="s">
        <v>1442</v>
      </c>
      <c r="R77" s="128" t="s">
        <v>1443</v>
      </c>
      <c r="S77" s="128" t="s">
        <v>1444</v>
      </c>
      <c r="T77" s="227" t="s">
        <v>1445</v>
      </c>
      <c r="U77" s="227" t="s">
        <v>1446</v>
      </c>
      <c r="V77" s="128"/>
      <c r="W77" s="17">
        <v>2015</v>
      </c>
    </row>
    <row r="78" spans="1:23" ht="32.15" customHeight="1" x14ac:dyDescent="0.35">
      <c r="A78" s="41">
        <v>76</v>
      </c>
      <c r="B78" s="371" t="str">
        <f>+VLOOKUP(C78,'Applications List'!$B$4:$E$181,4,FALSE)</f>
        <v>Technology</v>
      </c>
      <c r="C78" s="133" t="s">
        <v>74</v>
      </c>
      <c r="D78" s="132" t="s">
        <v>3247</v>
      </c>
      <c r="E78" s="135" t="s">
        <v>1447</v>
      </c>
      <c r="F78" s="136" t="s">
        <v>1448</v>
      </c>
      <c r="G78" s="128"/>
      <c r="H78" s="128" t="s">
        <v>1449</v>
      </c>
      <c r="I78" s="128" t="s">
        <v>3253</v>
      </c>
      <c r="J78" s="128" t="s">
        <v>1414</v>
      </c>
      <c r="K78" s="128" t="s">
        <v>1450</v>
      </c>
      <c r="L78" s="127" t="s">
        <v>3249</v>
      </c>
      <c r="M78" s="128" t="s">
        <v>3252</v>
      </c>
      <c r="N78" s="128" t="s">
        <v>1451</v>
      </c>
      <c r="O78" s="128" t="s">
        <v>1452</v>
      </c>
      <c r="P78" s="128" t="s">
        <v>1453</v>
      </c>
      <c r="Q78" s="128" t="s">
        <v>1454</v>
      </c>
      <c r="R78" s="128" t="s">
        <v>1455</v>
      </c>
      <c r="S78" s="128" t="s">
        <v>1456</v>
      </c>
      <c r="T78" s="227" t="s">
        <v>1457</v>
      </c>
      <c r="U78" s="227" t="s">
        <v>1458</v>
      </c>
      <c r="V78" s="128"/>
      <c r="W78" s="17">
        <v>2015</v>
      </c>
    </row>
    <row r="79" spans="1:23" ht="33.65" customHeight="1" x14ac:dyDescent="0.35">
      <c r="A79" s="41">
        <v>77</v>
      </c>
      <c r="B79" s="371" t="str">
        <f>+VLOOKUP(C79,'Applications List'!$B$4:$E$181,4,FALSE)</f>
        <v>Technology</v>
      </c>
      <c r="C79" s="133" t="s">
        <v>74</v>
      </c>
      <c r="D79" s="132" t="s">
        <v>3247</v>
      </c>
      <c r="E79" s="135" t="s">
        <v>1459</v>
      </c>
      <c r="F79" s="136" t="s">
        <v>1460</v>
      </c>
      <c r="G79" s="128" t="s">
        <v>3254</v>
      </c>
      <c r="H79" s="128" t="s">
        <v>3255</v>
      </c>
      <c r="I79" s="128" t="s">
        <v>3256</v>
      </c>
      <c r="J79" s="128" t="s">
        <v>1134</v>
      </c>
      <c r="K79" s="128" t="s">
        <v>1462</v>
      </c>
      <c r="L79" s="127" t="s">
        <v>519</v>
      </c>
      <c r="M79" s="128" t="s">
        <v>574</v>
      </c>
      <c r="N79" s="128" t="s">
        <v>1463</v>
      </c>
      <c r="O79" s="128" t="s">
        <v>1464</v>
      </c>
      <c r="P79" s="128" t="s">
        <v>1465</v>
      </c>
      <c r="Q79" s="128" t="s">
        <v>1466</v>
      </c>
      <c r="R79" s="128" t="s">
        <v>1467</v>
      </c>
      <c r="S79" s="128" t="s">
        <v>1468</v>
      </c>
      <c r="T79" s="227" t="s">
        <v>1469</v>
      </c>
      <c r="U79" s="227" t="s">
        <v>1470</v>
      </c>
      <c r="V79" s="128"/>
      <c r="W79" s="17">
        <v>2015</v>
      </c>
    </row>
    <row r="80" spans="1:23" ht="36.65" customHeight="1" x14ac:dyDescent="0.35">
      <c r="A80" s="41">
        <v>78</v>
      </c>
      <c r="B80" s="371" t="str">
        <f>+VLOOKUP(C80,'Applications List'!$B$4:$E$181,4,FALSE)</f>
        <v>Technology</v>
      </c>
      <c r="C80" s="133" t="s">
        <v>74</v>
      </c>
      <c r="D80" s="132" t="s">
        <v>3247</v>
      </c>
      <c r="E80" s="135" t="s">
        <v>1471</v>
      </c>
      <c r="F80" s="136" t="s">
        <v>1472</v>
      </c>
      <c r="G80" s="128"/>
      <c r="H80" s="128" t="s">
        <v>1473</v>
      </c>
      <c r="I80" s="128" t="s">
        <v>1402</v>
      </c>
      <c r="J80" s="128" t="s">
        <v>721</v>
      </c>
      <c r="K80" s="128" t="s">
        <v>1474</v>
      </c>
      <c r="L80" s="127" t="s">
        <v>519</v>
      </c>
      <c r="M80" s="128" t="s">
        <v>574</v>
      </c>
      <c r="N80" s="128" t="s">
        <v>1475</v>
      </c>
      <c r="O80" s="128" t="s">
        <v>1476</v>
      </c>
      <c r="P80" s="128" t="s">
        <v>1477</v>
      </c>
      <c r="Q80" s="128" t="s">
        <v>1478</v>
      </c>
      <c r="R80" s="128" t="s">
        <v>1479</v>
      </c>
      <c r="S80" s="128" t="s">
        <v>1480</v>
      </c>
      <c r="T80" s="227" t="s">
        <v>1481</v>
      </c>
      <c r="U80" s="227" t="s">
        <v>1482</v>
      </c>
      <c r="V80" s="128"/>
      <c r="W80" s="17">
        <v>2014</v>
      </c>
    </row>
    <row r="81" spans="1:23" ht="42.65" customHeight="1" x14ac:dyDescent="0.35">
      <c r="A81" s="41">
        <v>79</v>
      </c>
      <c r="B81" s="371" t="str">
        <f>+VLOOKUP(C81,'Applications List'!$B$4:$E$181,4,FALSE)</f>
        <v>Technology</v>
      </c>
      <c r="C81" s="133" t="s">
        <v>74</v>
      </c>
      <c r="D81" s="132" t="s">
        <v>3247</v>
      </c>
      <c r="E81" s="135" t="s">
        <v>1483</v>
      </c>
      <c r="F81" s="136" t="s">
        <v>1484</v>
      </c>
      <c r="G81" s="128"/>
      <c r="H81" s="128" t="s">
        <v>1485</v>
      </c>
      <c r="I81" s="128" t="s">
        <v>1486</v>
      </c>
      <c r="J81" s="128" t="s">
        <v>1307</v>
      </c>
      <c r="K81" s="128" t="s">
        <v>1487</v>
      </c>
      <c r="L81" s="127" t="s">
        <v>519</v>
      </c>
      <c r="M81" s="128" t="s">
        <v>1488</v>
      </c>
      <c r="N81" s="128" t="s">
        <v>1489</v>
      </c>
      <c r="O81" s="128" t="s">
        <v>1490</v>
      </c>
      <c r="P81" s="128" t="s">
        <v>1491</v>
      </c>
      <c r="Q81" s="128" t="s">
        <v>1492</v>
      </c>
      <c r="R81" s="128" t="s">
        <v>1493</v>
      </c>
      <c r="S81" s="128" t="s">
        <v>1494</v>
      </c>
      <c r="T81" s="227" t="s">
        <v>3257</v>
      </c>
      <c r="U81" s="227" t="s">
        <v>1495</v>
      </c>
      <c r="V81" s="128"/>
      <c r="W81" s="17">
        <v>2006</v>
      </c>
    </row>
    <row r="82" spans="1:23" ht="41.15" customHeight="1" x14ac:dyDescent="0.35">
      <c r="A82" s="41">
        <v>80</v>
      </c>
      <c r="B82" s="371" t="str">
        <f>+VLOOKUP(C82,'Applications List'!$B$4:$E$181,4,FALSE)</f>
        <v>Technology</v>
      </c>
      <c r="C82" s="133" t="s">
        <v>74</v>
      </c>
      <c r="D82" s="132" t="s">
        <v>3247</v>
      </c>
      <c r="E82" s="135" t="s">
        <v>1496</v>
      </c>
      <c r="F82" s="136" t="s">
        <v>1497</v>
      </c>
      <c r="G82" s="128"/>
      <c r="H82" s="128" t="s">
        <v>1498</v>
      </c>
      <c r="I82" s="128" t="s">
        <v>3259</v>
      </c>
      <c r="J82" s="128" t="s">
        <v>721</v>
      </c>
      <c r="K82" s="128" t="s">
        <v>1499</v>
      </c>
      <c r="L82" s="127" t="s">
        <v>1428</v>
      </c>
      <c r="M82" s="128" t="s">
        <v>3258</v>
      </c>
      <c r="N82" s="128" t="s">
        <v>1500</v>
      </c>
      <c r="O82" s="128" t="s">
        <v>1501</v>
      </c>
      <c r="P82" s="128" t="s">
        <v>1502</v>
      </c>
      <c r="Q82" s="128" t="s">
        <v>1503</v>
      </c>
      <c r="R82" s="128" t="s">
        <v>1504</v>
      </c>
      <c r="S82" s="128" t="s">
        <v>1505</v>
      </c>
      <c r="T82" s="227" t="s">
        <v>1506</v>
      </c>
      <c r="U82" s="227" t="s">
        <v>1507</v>
      </c>
      <c r="V82" s="128"/>
      <c r="W82" s="17">
        <v>2016</v>
      </c>
    </row>
    <row r="83" spans="1:23" ht="87" x14ac:dyDescent="0.35">
      <c r="A83" s="41">
        <v>81</v>
      </c>
      <c r="B83" s="371" t="str">
        <f>+VLOOKUP(C83,'Applications List'!$B$4:$E$181,4,FALSE)</f>
        <v>Technology</v>
      </c>
      <c r="C83" s="133" t="s">
        <v>74</v>
      </c>
      <c r="D83" s="132" t="s">
        <v>332</v>
      </c>
      <c r="E83" s="135" t="s">
        <v>1508</v>
      </c>
      <c r="F83" s="136" t="s">
        <v>1509</v>
      </c>
      <c r="G83" s="128"/>
      <c r="H83" s="128" t="s">
        <v>1510</v>
      </c>
      <c r="I83" s="128" t="s">
        <v>1511</v>
      </c>
      <c r="J83" s="128" t="s">
        <v>1307</v>
      </c>
      <c r="K83" s="128" t="s">
        <v>1512</v>
      </c>
      <c r="L83" s="127" t="s">
        <v>519</v>
      </c>
      <c r="M83" s="128" t="s">
        <v>549</v>
      </c>
      <c r="N83" s="128" t="s">
        <v>575</v>
      </c>
      <c r="O83" s="128" t="s">
        <v>1513</v>
      </c>
      <c r="P83" s="128" t="s">
        <v>1514</v>
      </c>
      <c r="Q83" s="128" t="s">
        <v>1515</v>
      </c>
      <c r="R83" s="128" t="s">
        <v>1516</v>
      </c>
      <c r="S83" s="128" t="s">
        <v>1517</v>
      </c>
      <c r="T83" s="138" t="s">
        <v>1518</v>
      </c>
      <c r="U83" s="138" t="s">
        <v>1519</v>
      </c>
      <c r="V83" s="128"/>
      <c r="W83" s="17">
        <v>2012</v>
      </c>
    </row>
    <row r="84" spans="1:23" ht="87" x14ac:dyDescent="0.35">
      <c r="A84" s="41">
        <v>82</v>
      </c>
      <c r="B84" s="371" t="str">
        <f>+VLOOKUP(C84,'Applications List'!$B$4:$E$181,4,FALSE)</f>
        <v>Technology</v>
      </c>
      <c r="C84" s="133" t="s">
        <v>74</v>
      </c>
      <c r="D84" s="132" t="s">
        <v>332</v>
      </c>
      <c r="E84" s="135" t="s">
        <v>1520</v>
      </c>
      <c r="F84" s="136" t="s">
        <v>1521</v>
      </c>
      <c r="G84" s="128"/>
      <c r="H84" s="128" t="s">
        <v>1522</v>
      </c>
      <c r="I84" s="128" t="s">
        <v>793</v>
      </c>
      <c r="J84" s="128" t="s">
        <v>1307</v>
      </c>
      <c r="K84" s="128" t="s">
        <v>1523</v>
      </c>
      <c r="L84" s="127" t="s">
        <v>1428</v>
      </c>
      <c r="M84" s="128" t="s">
        <v>1524</v>
      </c>
      <c r="N84" s="128" t="s">
        <v>1525</v>
      </c>
      <c r="O84" s="128" t="s">
        <v>1526</v>
      </c>
      <c r="P84" s="128" t="s">
        <v>1527</v>
      </c>
      <c r="Q84" s="128" t="s">
        <v>1528</v>
      </c>
      <c r="R84" s="128" t="s">
        <v>1529</v>
      </c>
      <c r="S84" s="128" t="s">
        <v>1530</v>
      </c>
      <c r="T84" s="138" t="s">
        <v>1531</v>
      </c>
      <c r="U84" s="138" t="s">
        <v>1532</v>
      </c>
      <c r="V84" s="128"/>
      <c r="W84" s="17">
        <v>2012</v>
      </c>
    </row>
    <row r="85" spans="1:23" ht="72.5" x14ac:dyDescent="0.35">
      <c r="A85" s="41">
        <v>83</v>
      </c>
      <c r="B85" s="371" t="str">
        <f>+VLOOKUP(C85,'Applications List'!$B$4:$E$181,4,FALSE)</f>
        <v>Technology</v>
      </c>
      <c r="C85" s="133" t="s">
        <v>74</v>
      </c>
      <c r="D85" s="132" t="s">
        <v>332</v>
      </c>
      <c r="E85" s="135" t="s">
        <v>1533</v>
      </c>
      <c r="F85" s="136" t="s">
        <v>1534</v>
      </c>
      <c r="G85" s="128"/>
      <c r="H85" s="128" t="s">
        <v>1535</v>
      </c>
      <c r="I85" s="128" t="s">
        <v>1257</v>
      </c>
      <c r="J85" s="128" t="s">
        <v>721</v>
      </c>
      <c r="K85" s="128" t="s">
        <v>1536</v>
      </c>
      <c r="L85" s="127" t="s">
        <v>519</v>
      </c>
      <c r="M85" s="128" t="s">
        <v>574</v>
      </c>
      <c r="N85" s="128" t="s">
        <v>1537</v>
      </c>
      <c r="O85" s="128" t="s">
        <v>1538</v>
      </c>
      <c r="P85" s="128" t="s">
        <v>1539</v>
      </c>
      <c r="Q85" s="128" t="s">
        <v>1540</v>
      </c>
      <c r="R85" s="128" t="s">
        <v>1541</v>
      </c>
      <c r="S85" s="128" t="s">
        <v>1542</v>
      </c>
      <c r="T85" s="138" t="s">
        <v>1543</v>
      </c>
      <c r="U85" s="138" t="s">
        <v>1544</v>
      </c>
      <c r="V85" s="128"/>
      <c r="W85" s="17">
        <v>2021</v>
      </c>
    </row>
    <row r="86" spans="1:23" ht="58" x14ac:dyDescent="0.35">
      <c r="A86" s="41">
        <v>84</v>
      </c>
      <c r="B86" s="371" t="str">
        <f>+VLOOKUP(C86,'Applications List'!$B$4:$E$181,4,FALSE)</f>
        <v>Technology</v>
      </c>
      <c r="C86" s="133" t="s">
        <v>74</v>
      </c>
      <c r="D86" s="132" t="s">
        <v>332</v>
      </c>
      <c r="E86" s="135" t="s">
        <v>1545</v>
      </c>
      <c r="F86" s="136" t="s">
        <v>1534</v>
      </c>
      <c r="G86" s="128"/>
      <c r="H86" s="128" t="s">
        <v>1546</v>
      </c>
      <c r="I86" s="128" t="s">
        <v>1547</v>
      </c>
      <c r="J86" s="128" t="s">
        <v>1134</v>
      </c>
      <c r="K86" s="128" t="s">
        <v>1548</v>
      </c>
      <c r="L86" s="127" t="s">
        <v>519</v>
      </c>
      <c r="M86" s="128" t="s">
        <v>574</v>
      </c>
      <c r="N86" s="128" t="s">
        <v>1549</v>
      </c>
      <c r="O86" s="128" t="s">
        <v>1550</v>
      </c>
      <c r="P86" s="128" t="s">
        <v>1551</v>
      </c>
      <c r="Q86" s="128" t="s">
        <v>1552</v>
      </c>
      <c r="R86" s="128" t="s">
        <v>1553</v>
      </c>
      <c r="S86" s="128" t="s">
        <v>1554</v>
      </c>
      <c r="T86" s="138" t="s">
        <v>1555</v>
      </c>
      <c r="U86" s="138" t="s">
        <v>1556</v>
      </c>
      <c r="V86" s="128"/>
      <c r="W86" s="17">
        <v>2017</v>
      </c>
    </row>
    <row r="87" spans="1:23" ht="72.5" x14ac:dyDescent="0.35">
      <c r="A87" s="41">
        <v>85</v>
      </c>
      <c r="B87" s="371" t="str">
        <f>+VLOOKUP(C87,'Applications List'!$B$4:$E$181,4,FALSE)</f>
        <v>Technology</v>
      </c>
      <c r="C87" s="133" t="s">
        <v>74</v>
      </c>
      <c r="D87" s="132" t="s">
        <v>332</v>
      </c>
      <c r="E87" s="135" t="s">
        <v>1557</v>
      </c>
      <c r="F87" s="136" t="s">
        <v>1558</v>
      </c>
      <c r="G87" s="128"/>
      <c r="H87" s="128" t="s">
        <v>1559</v>
      </c>
      <c r="I87" s="128" t="s">
        <v>533</v>
      </c>
      <c r="J87" s="128" t="s">
        <v>721</v>
      </c>
      <c r="K87" s="128" t="s">
        <v>1560</v>
      </c>
      <c r="L87" s="127" t="s">
        <v>519</v>
      </c>
      <c r="M87" s="128" t="s">
        <v>549</v>
      </c>
      <c r="N87" s="128" t="s">
        <v>1561</v>
      </c>
      <c r="O87" s="128" t="s">
        <v>1562</v>
      </c>
      <c r="P87" s="128" t="s">
        <v>1563</v>
      </c>
      <c r="Q87" s="128" t="s">
        <v>1564</v>
      </c>
      <c r="R87" s="128" t="s">
        <v>1565</v>
      </c>
      <c r="S87" s="128" t="s">
        <v>1566</v>
      </c>
      <c r="T87" s="138" t="s">
        <v>1567</v>
      </c>
      <c r="U87" s="138" t="s">
        <v>1568</v>
      </c>
      <c r="V87" s="128"/>
      <c r="W87" s="17">
        <v>2020</v>
      </c>
    </row>
    <row r="88" spans="1:23" ht="58" x14ac:dyDescent="0.35">
      <c r="A88" s="41">
        <v>86</v>
      </c>
      <c r="B88" s="371" t="str">
        <f>+VLOOKUP(C88,'Applications List'!$B$4:$E$181,4,FALSE)</f>
        <v>Technology</v>
      </c>
      <c r="C88" s="133" t="s">
        <v>74</v>
      </c>
      <c r="D88" s="132" t="s">
        <v>332</v>
      </c>
      <c r="E88" s="135" t="s">
        <v>1569</v>
      </c>
      <c r="F88" s="136" t="s">
        <v>1569</v>
      </c>
      <c r="G88" s="128" t="s">
        <v>1570</v>
      </c>
      <c r="H88" s="128" t="s">
        <v>1571</v>
      </c>
      <c r="I88" s="128" t="s">
        <v>1294</v>
      </c>
      <c r="J88" s="128" t="s">
        <v>1134</v>
      </c>
      <c r="K88" s="128" t="s">
        <v>1572</v>
      </c>
      <c r="L88" s="127" t="s">
        <v>1428</v>
      </c>
      <c r="M88" s="128" t="s">
        <v>549</v>
      </c>
      <c r="N88" s="128" t="s">
        <v>1573</v>
      </c>
      <c r="O88" s="128" t="s">
        <v>1574</v>
      </c>
      <c r="P88" s="128" t="s">
        <v>1575</v>
      </c>
      <c r="Q88" s="128" t="s">
        <v>1576</v>
      </c>
      <c r="R88" s="128" t="s">
        <v>1577</v>
      </c>
      <c r="S88" s="128" t="s">
        <v>1578</v>
      </c>
      <c r="T88" s="138" t="s">
        <v>1579</v>
      </c>
      <c r="U88" s="138" t="s">
        <v>1580</v>
      </c>
      <c r="V88" s="128"/>
      <c r="W88" s="17">
        <v>2021</v>
      </c>
    </row>
    <row r="89" spans="1:23" ht="49.5" customHeight="1" x14ac:dyDescent="0.35">
      <c r="A89" s="41">
        <v>87</v>
      </c>
      <c r="B89" s="371" t="str">
        <f>+VLOOKUP(C89,'Applications List'!$B$4:$E$181,4,FALSE)</f>
        <v>Technology</v>
      </c>
      <c r="C89" s="133" t="s">
        <v>74</v>
      </c>
      <c r="D89" s="132" t="s">
        <v>332</v>
      </c>
      <c r="E89" s="135" t="s">
        <v>1581</v>
      </c>
      <c r="F89" s="136" t="s">
        <v>1582</v>
      </c>
      <c r="G89" s="128"/>
      <c r="H89" s="128" t="s">
        <v>1583</v>
      </c>
      <c r="I89" s="128" t="s">
        <v>533</v>
      </c>
      <c r="J89" s="128" t="s">
        <v>1584</v>
      </c>
      <c r="K89" s="128" t="s">
        <v>1585</v>
      </c>
      <c r="L89" s="127" t="s">
        <v>519</v>
      </c>
      <c r="M89" s="128" t="s">
        <v>574</v>
      </c>
      <c r="N89" s="128" t="s">
        <v>1586</v>
      </c>
      <c r="O89" s="128" t="s">
        <v>1587</v>
      </c>
      <c r="P89" s="128" t="s">
        <v>1588</v>
      </c>
      <c r="Q89" s="128" t="s">
        <v>1589</v>
      </c>
      <c r="R89" s="128" t="s">
        <v>1590</v>
      </c>
      <c r="S89" s="128" t="s">
        <v>1591</v>
      </c>
      <c r="T89" s="140" t="s">
        <v>1592</v>
      </c>
      <c r="U89" s="140" t="s">
        <v>1593</v>
      </c>
      <c r="V89" s="128" t="s">
        <v>1594</v>
      </c>
      <c r="W89" s="17">
        <v>2018</v>
      </c>
    </row>
    <row r="90" spans="1:23" ht="34" customHeight="1" x14ac:dyDescent="0.35">
      <c r="A90" s="41">
        <v>88</v>
      </c>
      <c r="B90" s="371" t="str">
        <f>+VLOOKUP(C90,'Applications List'!$B$4:$E$181,4,FALSE)</f>
        <v>Governance</v>
      </c>
      <c r="C90" s="133" t="s">
        <v>82</v>
      </c>
      <c r="D90" s="132" t="s">
        <v>393</v>
      </c>
      <c r="E90" s="135" t="s">
        <v>1595</v>
      </c>
      <c r="F90" s="136" t="s">
        <v>3260</v>
      </c>
      <c r="G90" s="128"/>
      <c r="H90" s="128" t="s">
        <v>1596</v>
      </c>
      <c r="I90" s="128" t="s">
        <v>3261</v>
      </c>
      <c r="J90" s="127" t="s">
        <v>572</v>
      </c>
      <c r="K90" s="128" t="s">
        <v>1597</v>
      </c>
      <c r="L90" s="127" t="s">
        <v>519</v>
      </c>
      <c r="M90" s="128"/>
      <c r="N90" s="128" t="s">
        <v>1598</v>
      </c>
      <c r="O90" s="128" t="s">
        <v>1599</v>
      </c>
      <c r="P90" s="128" t="s">
        <v>1600</v>
      </c>
      <c r="Q90" s="128" t="s">
        <v>1601</v>
      </c>
      <c r="R90" s="128" t="s">
        <v>1602</v>
      </c>
      <c r="S90" s="128" t="s">
        <v>1603</v>
      </c>
      <c r="T90" s="227" t="s">
        <v>1604</v>
      </c>
      <c r="U90" s="227" t="s">
        <v>1605</v>
      </c>
      <c r="V90" s="128"/>
      <c r="W90" s="17">
        <v>2019</v>
      </c>
    </row>
    <row r="91" spans="1:23" ht="51" customHeight="1" x14ac:dyDescent="0.35">
      <c r="A91" s="41">
        <v>89</v>
      </c>
      <c r="B91" s="371" t="str">
        <f>+VLOOKUP(C91,'Applications List'!$B$4:$E$181,4,FALSE)</f>
        <v>Governance</v>
      </c>
      <c r="C91" s="133" t="s">
        <v>82</v>
      </c>
      <c r="D91" s="132" t="s">
        <v>396</v>
      </c>
      <c r="E91" s="135" t="s">
        <v>1606</v>
      </c>
      <c r="F91" s="136" t="s">
        <v>1607</v>
      </c>
      <c r="G91" s="128"/>
      <c r="H91" s="128" t="s">
        <v>1608</v>
      </c>
      <c r="I91" s="128" t="s">
        <v>1609</v>
      </c>
      <c r="J91" s="128" t="s">
        <v>1239</v>
      </c>
      <c r="K91" s="128" t="s">
        <v>1610</v>
      </c>
      <c r="L91" s="127" t="s">
        <v>519</v>
      </c>
      <c r="M91" s="128" t="s">
        <v>574</v>
      </c>
      <c r="N91" s="128" t="s">
        <v>1611</v>
      </c>
      <c r="O91" s="128" t="s">
        <v>1392</v>
      </c>
      <c r="P91" s="128" t="s">
        <v>1612</v>
      </c>
      <c r="Q91" s="128" t="s">
        <v>1613</v>
      </c>
      <c r="R91" s="128" t="s">
        <v>1614</v>
      </c>
      <c r="S91" s="128" t="s">
        <v>1615</v>
      </c>
      <c r="T91" s="138" t="s">
        <v>1616</v>
      </c>
      <c r="U91" s="138"/>
      <c r="V91" s="128"/>
      <c r="W91" s="17">
        <v>2022</v>
      </c>
    </row>
    <row r="92" spans="1:23" ht="33" customHeight="1" x14ac:dyDescent="0.35">
      <c r="A92" s="41">
        <v>90</v>
      </c>
      <c r="B92" s="371" t="str">
        <f>+VLOOKUP(C92,'Applications List'!$B$4:$E$181,4,FALSE)</f>
        <v>Governance</v>
      </c>
      <c r="C92" s="133" t="s">
        <v>82</v>
      </c>
      <c r="D92" s="132" t="s">
        <v>398</v>
      </c>
      <c r="E92" s="135" t="s">
        <v>1617</v>
      </c>
      <c r="F92" s="136" t="s">
        <v>3262</v>
      </c>
      <c r="G92" s="128"/>
      <c r="H92" s="128" t="s">
        <v>1618</v>
      </c>
      <c r="I92" s="128" t="s">
        <v>3263</v>
      </c>
      <c r="J92" s="127" t="s">
        <v>572</v>
      </c>
      <c r="K92" s="128" t="s">
        <v>1619</v>
      </c>
      <c r="L92" s="127" t="s">
        <v>519</v>
      </c>
      <c r="M92" s="128" t="s">
        <v>738</v>
      </c>
      <c r="N92" s="128" t="s">
        <v>1620</v>
      </c>
      <c r="O92" s="128" t="s">
        <v>1621</v>
      </c>
      <c r="P92" s="128" t="s">
        <v>1622</v>
      </c>
      <c r="Q92" s="128" t="s">
        <v>1623</v>
      </c>
      <c r="R92" s="128" t="s">
        <v>1624</v>
      </c>
      <c r="S92" s="128" t="s">
        <v>3264</v>
      </c>
      <c r="T92" s="233" t="s">
        <v>1625</v>
      </c>
      <c r="U92" s="233" t="s">
        <v>1709</v>
      </c>
      <c r="V92" s="128"/>
      <c r="W92" s="17">
        <v>2016</v>
      </c>
    </row>
    <row r="93" spans="1:23" ht="39" customHeight="1" x14ac:dyDescent="0.35">
      <c r="A93" s="41">
        <v>91</v>
      </c>
      <c r="B93" s="371" t="str">
        <f>+VLOOKUP(C93,'Applications List'!$B$4:$E$181,4,FALSE)</f>
        <v>Governance</v>
      </c>
      <c r="C93" s="133" t="s">
        <v>82</v>
      </c>
      <c r="D93" s="132" t="s">
        <v>398</v>
      </c>
      <c r="E93" s="135" t="s">
        <v>1626</v>
      </c>
      <c r="F93" s="136" t="s">
        <v>3265</v>
      </c>
      <c r="G93" s="128" t="s">
        <v>3266</v>
      </c>
      <c r="H93" s="128" t="s">
        <v>1627</v>
      </c>
      <c r="I93" s="128" t="s">
        <v>1294</v>
      </c>
      <c r="J93" s="128" t="s">
        <v>721</v>
      </c>
      <c r="K93" s="128" t="s">
        <v>1628</v>
      </c>
      <c r="L93" s="127" t="s">
        <v>519</v>
      </c>
      <c r="M93" s="128" t="s">
        <v>574</v>
      </c>
      <c r="N93" s="128" t="s">
        <v>1629</v>
      </c>
      <c r="O93" s="128" t="s">
        <v>3267</v>
      </c>
      <c r="P93" s="128" t="s">
        <v>1630</v>
      </c>
      <c r="Q93" s="128" t="s">
        <v>1631</v>
      </c>
      <c r="R93" s="128" t="s">
        <v>1632</v>
      </c>
      <c r="S93" s="128" t="s">
        <v>3268</v>
      </c>
      <c r="T93" s="233" t="s">
        <v>1633</v>
      </c>
      <c r="U93" s="233" t="s">
        <v>1634</v>
      </c>
      <c r="V93" s="128"/>
      <c r="W93" s="17">
        <v>2024</v>
      </c>
    </row>
    <row r="94" spans="1:23" ht="32.15" customHeight="1" x14ac:dyDescent="0.35">
      <c r="A94" s="41">
        <v>92</v>
      </c>
      <c r="B94" s="371" t="str">
        <f>+VLOOKUP(C94,'Applications List'!$B$4:$E$181,4,FALSE)</f>
        <v>Operations</v>
      </c>
      <c r="C94" s="133" t="s">
        <v>51</v>
      </c>
      <c r="D94" s="132" t="s">
        <v>151</v>
      </c>
      <c r="E94" s="135" t="s">
        <v>1635</v>
      </c>
      <c r="F94" s="136" t="s">
        <v>1237</v>
      </c>
      <c r="G94" s="128"/>
      <c r="H94" s="128" t="s">
        <v>1636</v>
      </c>
      <c r="I94" s="128" t="s">
        <v>533</v>
      </c>
      <c r="J94" s="128" t="s">
        <v>1134</v>
      </c>
      <c r="K94" s="127" t="s">
        <v>1637</v>
      </c>
      <c r="L94" s="127" t="s">
        <v>519</v>
      </c>
      <c r="M94" s="128" t="s">
        <v>574</v>
      </c>
      <c r="N94" s="127" t="s">
        <v>1638</v>
      </c>
      <c r="O94" s="128" t="s">
        <v>1621</v>
      </c>
      <c r="P94" s="128" t="s">
        <v>1639</v>
      </c>
      <c r="Q94" s="128" t="s">
        <v>1640</v>
      </c>
      <c r="R94" s="128" t="s">
        <v>1641</v>
      </c>
      <c r="S94" s="128" t="s">
        <v>1603</v>
      </c>
      <c r="T94" s="233" t="s">
        <v>1642</v>
      </c>
      <c r="U94" s="233"/>
      <c r="V94" s="128"/>
      <c r="W94" s="17">
        <v>2024</v>
      </c>
    </row>
    <row r="95" spans="1:23" ht="40.5" customHeight="1" x14ac:dyDescent="0.35">
      <c r="A95" s="41">
        <v>93</v>
      </c>
      <c r="B95" s="371" t="str">
        <f>+VLOOKUP(C95,'Applications List'!$B$4:$E$181,4,FALSE)</f>
        <v>Governance</v>
      </c>
      <c r="C95" s="133" t="s">
        <v>82</v>
      </c>
      <c r="D95" s="132" t="s">
        <v>401</v>
      </c>
      <c r="E95" s="135" t="s">
        <v>1643</v>
      </c>
      <c r="F95" s="136" t="s">
        <v>1644</v>
      </c>
      <c r="G95" s="128" t="s">
        <v>1645</v>
      </c>
      <c r="H95" s="128" t="s">
        <v>1646</v>
      </c>
      <c r="I95" s="128" t="s">
        <v>1294</v>
      </c>
      <c r="J95" s="128" t="s">
        <v>1239</v>
      </c>
      <c r="K95" s="128" t="s">
        <v>1647</v>
      </c>
      <c r="L95" s="127" t="s">
        <v>519</v>
      </c>
      <c r="M95" s="128" t="s">
        <v>1648</v>
      </c>
      <c r="N95" s="128" t="s">
        <v>1649</v>
      </c>
      <c r="O95" s="128" t="s">
        <v>1650</v>
      </c>
      <c r="P95" s="128" t="s">
        <v>1651</v>
      </c>
      <c r="Q95" s="128" t="s">
        <v>1652</v>
      </c>
      <c r="R95" s="128" t="s">
        <v>1653</v>
      </c>
      <c r="S95" s="128" t="s">
        <v>1654</v>
      </c>
      <c r="T95" s="140" t="s">
        <v>1655</v>
      </c>
      <c r="U95" s="140"/>
      <c r="V95" s="128"/>
      <c r="W95" s="17">
        <v>2024</v>
      </c>
    </row>
    <row r="96" spans="1:23" ht="49.5" customHeight="1" x14ac:dyDescent="0.35">
      <c r="A96" s="41">
        <v>94</v>
      </c>
      <c r="B96" s="371" t="str">
        <f>+VLOOKUP(C96,'Applications List'!$B$4:$E$181,4,FALSE)</f>
        <v>Governance</v>
      </c>
      <c r="C96" s="133" t="s">
        <v>82</v>
      </c>
      <c r="D96" s="132" t="s">
        <v>401</v>
      </c>
      <c r="E96" s="135" t="s">
        <v>1656</v>
      </c>
      <c r="F96" s="136" t="s">
        <v>1657</v>
      </c>
      <c r="G96" s="128"/>
      <c r="H96" s="128" t="s">
        <v>1658</v>
      </c>
      <c r="I96" s="128" t="s">
        <v>779</v>
      </c>
      <c r="J96" s="128" t="s">
        <v>1134</v>
      </c>
      <c r="K96" s="128" t="s">
        <v>1659</v>
      </c>
      <c r="L96" s="127" t="s">
        <v>519</v>
      </c>
      <c r="M96" s="128" t="s">
        <v>574</v>
      </c>
      <c r="N96" s="128" t="s">
        <v>1660</v>
      </c>
      <c r="O96" s="128" t="s">
        <v>1661</v>
      </c>
      <c r="P96" s="128" t="s">
        <v>1662</v>
      </c>
      <c r="Q96" s="128" t="s">
        <v>1663</v>
      </c>
      <c r="R96" s="128" t="s">
        <v>1664</v>
      </c>
      <c r="S96" s="128" t="s">
        <v>1665</v>
      </c>
      <c r="T96" s="140" t="s">
        <v>1666</v>
      </c>
      <c r="U96" s="140" t="s">
        <v>1667</v>
      </c>
      <c r="V96" s="128"/>
      <c r="W96" s="17">
        <v>2024</v>
      </c>
    </row>
    <row r="97" spans="1:24" ht="46.5" customHeight="1" x14ac:dyDescent="0.35">
      <c r="A97" s="41">
        <v>95</v>
      </c>
      <c r="B97" s="371" t="str">
        <f>+VLOOKUP(C97,'Applications List'!$B$4:$E$181,4,FALSE)</f>
        <v>Governance</v>
      </c>
      <c r="C97" s="133" t="s">
        <v>82</v>
      </c>
      <c r="D97" s="132" t="s">
        <v>401</v>
      </c>
      <c r="E97" s="135" t="s">
        <v>1668</v>
      </c>
      <c r="F97" s="136" t="s">
        <v>1237</v>
      </c>
      <c r="G97" s="128" t="s">
        <v>1669</v>
      </c>
      <c r="H97" s="128" t="s">
        <v>1670</v>
      </c>
      <c r="I97" s="128" t="s">
        <v>1671</v>
      </c>
      <c r="J97" s="127" t="s">
        <v>572</v>
      </c>
      <c r="K97" s="128" t="s">
        <v>1672</v>
      </c>
      <c r="L97" s="127" t="s">
        <v>519</v>
      </c>
      <c r="M97" s="128" t="s">
        <v>588</v>
      </c>
      <c r="N97" s="128" t="s">
        <v>575</v>
      </c>
      <c r="O97" s="128" t="s">
        <v>1673</v>
      </c>
      <c r="P97" s="128" t="s">
        <v>1674</v>
      </c>
      <c r="Q97" s="128" t="s">
        <v>1675</v>
      </c>
      <c r="R97" s="128" t="s">
        <v>1676</v>
      </c>
      <c r="S97" s="128" t="s">
        <v>1677</v>
      </c>
      <c r="T97" s="140" t="s">
        <v>1678</v>
      </c>
      <c r="U97" s="140"/>
      <c r="V97" s="128"/>
      <c r="W97" s="17">
        <v>2023</v>
      </c>
    </row>
    <row r="98" spans="1:24" ht="29" x14ac:dyDescent="0.35">
      <c r="A98" s="41">
        <v>96</v>
      </c>
      <c r="B98" s="371" t="str">
        <f>+VLOOKUP(C98,'Applications List'!$B$4:$E$181,4,FALSE)</f>
        <v>Operations</v>
      </c>
      <c r="C98" s="133" t="s">
        <v>48</v>
      </c>
      <c r="D98" s="132" t="s">
        <v>123</v>
      </c>
      <c r="E98" s="113" t="s">
        <v>1679</v>
      </c>
      <c r="F98" s="141" t="s">
        <v>1680</v>
      </c>
      <c r="G98" s="127" t="s">
        <v>1681</v>
      </c>
      <c r="H98" s="127" t="s">
        <v>1682</v>
      </c>
      <c r="I98" s="127" t="s">
        <v>533</v>
      </c>
      <c r="J98" s="127" t="s">
        <v>1683</v>
      </c>
      <c r="K98" s="127" t="s">
        <v>1684</v>
      </c>
      <c r="L98" s="127" t="s">
        <v>519</v>
      </c>
      <c r="M98" s="127" t="s">
        <v>1685</v>
      </c>
      <c r="N98" s="127" t="s">
        <v>1686</v>
      </c>
      <c r="O98" s="127" t="s">
        <v>1687</v>
      </c>
      <c r="P98" s="127" t="s">
        <v>1688</v>
      </c>
      <c r="Q98" s="127" t="s">
        <v>1689</v>
      </c>
      <c r="R98" s="127" t="s">
        <v>1690</v>
      </c>
      <c r="S98" s="127" t="s">
        <v>1691</v>
      </c>
      <c r="T98" s="236" t="s">
        <v>1692</v>
      </c>
      <c r="U98" s="236" t="s">
        <v>1693</v>
      </c>
      <c r="V98" s="127" t="s">
        <v>1694</v>
      </c>
      <c r="W98" s="17">
        <v>2013</v>
      </c>
      <c r="X98" s="127"/>
    </row>
    <row r="99" spans="1:24" ht="29" x14ac:dyDescent="0.35">
      <c r="A99" s="41">
        <v>97</v>
      </c>
      <c r="B99" s="371" t="str">
        <f>+VLOOKUP(C99,'Applications List'!$B$4:$E$181,4,FALSE)</f>
        <v>Operations</v>
      </c>
      <c r="C99" s="133" t="s">
        <v>48</v>
      </c>
      <c r="D99" s="132" t="s">
        <v>123</v>
      </c>
      <c r="E99" s="113" t="s">
        <v>1695</v>
      </c>
      <c r="F99" s="141" t="s">
        <v>1696</v>
      </c>
      <c r="G99" s="127" t="s">
        <v>1697</v>
      </c>
      <c r="H99" s="127" t="s">
        <v>1698</v>
      </c>
      <c r="I99" s="127" t="s">
        <v>1699</v>
      </c>
      <c r="J99" s="127" t="s">
        <v>586</v>
      </c>
      <c r="K99" s="127" t="s">
        <v>1700</v>
      </c>
      <c r="L99" s="127" t="s">
        <v>519</v>
      </c>
      <c r="M99" s="127" t="s">
        <v>1701</v>
      </c>
      <c r="N99" s="127" t="s">
        <v>1702</v>
      </c>
      <c r="O99" s="127" t="s">
        <v>1703</v>
      </c>
      <c r="P99" s="127" t="s">
        <v>1704</v>
      </c>
      <c r="Q99" s="127" t="s">
        <v>1705</v>
      </c>
      <c r="R99" s="127" t="s">
        <v>1706</v>
      </c>
      <c r="S99" s="127" t="s">
        <v>1707</v>
      </c>
      <c r="T99" s="227" t="s">
        <v>1708</v>
      </c>
      <c r="U99" s="236" t="s">
        <v>1709</v>
      </c>
      <c r="V99" s="127" t="s">
        <v>1710</v>
      </c>
      <c r="W99" s="17">
        <v>2009</v>
      </c>
      <c r="X99" s="127"/>
    </row>
    <row r="100" spans="1:24" ht="29" x14ac:dyDescent="0.35">
      <c r="A100" s="41">
        <v>98</v>
      </c>
      <c r="B100" s="371" t="str">
        <f>+VLOOKUP(C100,'Applications List'!$B$4:$E$181,4,FALSE)</f>
        <v>Operations</v>
      </c>
      <c r="C100" s="133" t="s">
        <v>48</v>
      </c>
      <c r="D100" s="132" t="s">
        <v>123</v>
      </c>
      <c r="E100" s="113" t="s">
        <v>1711</v>
      </c>
      <c r="F100" s="141" t="s">
        <v>1712</v>
      </c>
      <c r="G100" s="127" t="s">
        <v>1713</v>
      </c>
      <c r="H100" s="127" t="s">
        <v>1714</v>
      </c>
      <c r="I100" s="127" t="s">
        <v>533</v>
      </c>
      <c r="J100" s="127" t="s">
        <v>534</v>
      </c>
      <c r="K100" s="127" t="s">
        <v>1715</v>
      </c>
      <c r="L100" s="127" t="s">
        <v>519</v>
      </c>
      <c r="M100" s="127" t="s">
        <v>574</v>
      </c>
      <c r="N100" s="127" t="s">
        <v>1716</v>
      </c>
      <c r="O100" s="127" t="s">
        <v>1717</v>
      </c>
      <c r="P100" s="127" t="s">
        <v>1718</v>
      </c>
      <c r="Q100" s="127" t="s">
        <v>1719</v>
      </c>
      <c r="R100" s="127" t="s">
        <v>1720</v>
      </c>
      <c r="S100" s="127" t="s">
        <v>1721</v>
      </c>
      <c r="T100" s="236" t="s">
        <v>1722</v>
      </c>
      <c r="U100" s="235" t="s">
        <v>1723</v>
      </c>
      <c r="V100" s="127" t="s">
        <v>1724</v>
      </c>
      <c r="W100" s="17">
        <v>2014</v>
      </c>
      <c r="X100" s="127"/>
    </row>
    <row r="101" spans="1:24" x14ac:dyDescent="0.35">
      <c r="A101" s="41">
        <v>99</v>
      </c>
      <c r="B101" s="371" t="str">
        <f>+VLOOKUP(C101,'Applications List'!$B$4:$E$181,4,FALSE)</f>
        <v>Emerging Innovation</v>
      </c>
      <c r="C101" s="133" t="s">
        <v>87</v>
      </c>
      <c r="D101" s="132" t="s">
        <v>441</v>
      </c>
      <c r="E101" s="113" t="s">
        <v>1725</v>
      </c>
      <c r="F101" s="141" t="s">
        <v>1726</v>
      </c>
      <c r="G101" s="127" t="s">
        <v>1727</v>
      </c>
      <c r="H101" s="127" t="s">
        <v>1728</v>
      </c>
      <c r="I101" s="127" t="s">
        <v>533</v>
      </c>
      <c r="J101" s="127" t="s">
        <v>586</v>
      </c>
      <c r="K101" s="127" t="s">
        <v>1729</v>
      </c>
      <c r="L101" s="127" t="s">
        <v>519</v>
      </c>
      <c r="M101" s="127" t="s">
        <v>574</v>
      </c>
      <c r="N101" s="127" t="s">
        <v>589</v>
      </c>
      <c r="O101" s="127" t="s">
        <v>1730</v>
      </c>
      <c r="P101" s="127" t="s">
        <v>1731</v>
      </c>
      <c r="Q101" s="127" t="s">
        <v>1732</v>
      </c>
      <c r="R101" s="127" t="s">
        <v>1733</v>
      </c>
      <c r="S101" s="127" t="s">
        <v>1734</v>
      </c>
      <c r="T101" s="235" t="s">
        <v>1735</v>
      </c>
      <c r="U101" s="236" t="s">
        <v>1736</v>
      </c>
      <c r="V101" s="127" t="s">
        <v>1737</v>
      </c>
      <c r="W101" s="17">
        <v>2016</v>
      </c>
      <c r="X101" s="127"/>
    </row>
    <row r="102" spans="1:24" ht="29" x14ac:dyDescent="0.35">
      <c r="A102" s="41">
        <v>100</v>
      </c>
      <c r="B102" s="371" t="str">
        <f>+VLOOKUP(C102,'Applications List'!$B$4:$E$181,4,FALSE)</f>
        <v>Operations</v>
      </c>
      <c r="C102" s="133" t="s">
        <v>48</v>
      </c>
      <c r="D102" s="132" t="s">
        <v>123</v>
      </c>
      <c r="E102" s="113" t="s">
        <v>514</v>
      </c>
      <c r="F102" s="141" t="s">
        <v>1738</v>
      </c>
      <c r="G102" s="127" t="s">
        <v>1739</v>
      </c>
      <c r="H102" s="127" t="s">
        <v>1740</v>
      </c>
      <c r="I102" s="127" t="s">
        <v>1741</v>
      </c>
      <c r="J102" s="127" t="s">
        <v>1742</v>
      </c>
      <c r="K102" s="127" t="s">
        <v>1743</v>
      </c>
      <c r="L102" s="127" t="s">
        <v>519</v>
      </c>
      <c r="M102" s="127" t="s">
        <v>1744</v>
      </c>
      <c r="N102" s="127" t="s">
        <v>1745</v>
      </c>
      <c r="O102" s="127" t="s">
        <v>1746</v>
      </c>
      <c r="P102" s="127" t="s">
        <v>1747</v>
      </c>
      <c r="Q102" s="127" t="s">
        <v>1748</v>
      </c>
      <c r="R102" s="127" t="s">
        <v>1749</v>
      </c>
      <c r="S102" s="127" t="s">
        <v>1750</v>
      </c>
      <c r="T102" s="236" t="s">
        <v>1751</v>
      </c>
      <c r="U102" s="236" t="s">
        <v>1752</v>
      </c>
      <c r="V102" s="127" t="s">
        <v>1753</v>
      </c>
      <c r="W102" s="17">
        <v>2017</v>
      </c>
      <c r="X102" s="127"/>
    </row>
    <row r="103" spans="1:24" ht="29" x14ac:dyDescent="0.35">
      <c r="A103" s="41">
        <v>101</v>
      </c>
      <c r="B103" s="371" t="str">
        <f>+VLOOKUP(C103,'Applications List'!$B$4:$E$181,4,FALSE)</f>
        <v>Operations</v>
      </c>
      <c r="C103" s="133" t="s">
        <v>48</v>
      </c>
      <c r="D103" s="132" t="s">
        <v>123</v>
      </c>
      <c r="E103" s="113" t="s">
        <v>1754</v>
      </c>
      <c r="F103" s="141" t="s">
        <v>1755</v>
      </c>
      <c r="G103" s="127" t="s">
        <v>1756</v>
      </c>
      <c r="H103" s="127" t="s">
        <v>1757</v>
      </c>
      <c r="I103" s="127" t="s">
        <v>1758</v>
      </c>
      <c r="J103" s="127" t="s">
        <v>1759</v>
      </c>
      <c r="K103" s="127" t="s">
        <v>1760</v>
      </c>
      <c r="L103" s="127" t="s">
        <v>519</v>
      </c>
      <c r="M103" s="127" t="s">
        <v>1685</v>
      </c>
      <c r="N103" s="127" t="s">
        <v>1761</v>
      </c>
      <c r="O103" s="127" t="s">
        <v>1762</v>
      </c>
      <c r="P103" s="127" t="s">
        <v>1763</v>
      </c>
      <c r="Q103" s="127" t="s">
        <v>1764</v>
      </c>
      <c r="R103" s="127" t="s">
        <v>1765</v>
      </c>
      <c r="S103" s="127" t="s">
        <v>1766</v>
      </c>
      <c r="T103" s="236" t="s">
        <v>1767</v>
      </c>
      <c r="U103" s="235" t="s">
        <v>1768</v>
      </c>
      <c r="V103" s="127" t="s">
        <v>1769</v>
      </c>
      <c r="W103" s="17">
        <v>2015</v>
      </c>
      <c r="X103" s="127"/>
    </row>
    <row r="104" spans="1:24" ht="29" x14ac:dyDescent="0.35">
      <c r="A104" s="41">
        <v>102</v>
      </c>
      <c r="B104" s="371" t="str">
        <f>+VLOOKUP(C104,'Applications List'!$B$4:$E$181,4,FALSE)</f>
        <v>Operations</v>
      </c>
      <c r="C104" s="133" t="s">
        <v>48</v>
      </c>
      <c r="D104" s="132" t="s">
        <v>123</v>
      </c>
      <c r="E104" s="113" t="s">
        <v>1770</v>
      </c>
      <c r="F104" s="141" t="s">
        <v>1771</v>
      </c>
      <c r="G104" s="127" t="s">
        <v>1772</v>
      </c>
      <c r="H104" s="127" t="s">
        <v>1773</v>
      </c>
      <c r="I104" s="127" t="s">
        <v>533</v>
      </c>
      <c r="J104" s="127" t="s">
        <v>534</v>
      </c>
      <c r="K104" s="127" t="s">
        <v>1774</v>
      </c>
      <c r="L104" s="127" t="s">
        <v>519</v>
      </c>
      <c r="M104" s="127" t="s">
        <v>1685</v>
      </c>
      <c r="N104" s="127" t="s">
        <v>1775</v>
      </c>
      <c r="O104" s="127" t="s">
        <v>1776</v>
      </c>
      <c r="P104" s="127" t="s">
        <v>1777</v>
      </c>
      <c r="Q104" s="127" t="s">
        <v>1778</v>
      </c>
      <c r="R104" s="127" t="s">
        <v>1779</v>
      </c>
      <c r="S104" s="127" t="s">
        <v>1780</v>
      </c>
      <c r="T104" s="236" t="s">
        <v>1781</v>
      </c>
      <c r="U104" s="236" t="s">
        <v>1782</v>
      </c>
      <c r="V104" s="127" t="s">
        <v>1783</v>
      </c>
      <c r="W104" s="17">
        <v>2013</v>
      </c>
      <c r="X104" s="127"/>
    </row>
    <row r="105" spans="1:24" x14ac:dyDescent="0.35">
      <c r="A105" s="41">
        <v>103</v>
      </c>
      <c r="B105" s="371" t="str">
        <f>+VLOOKUP(C105,'Applications List'!$B$4:$E$181,4,FALSE)</f>
        <v>Operations</v>
      </c>
      <c r="C105" s="133" t="s">
        <v>51</v>
      </c>
      <c r="D105" s="132" t="s">
        <v>148</v>
      </c>
      <c r="E105" s="113" t="s">
        <v>1784</v>
      </c>
      <c r="F105" s="141" t="s">
        <v>1785</v>
      </c>
      <c r="G105" s="127" t="s">
        <v>1786</v>
      </c>
      <c r="H105" s="127" t="s">
        <v>1787</v>
      </c>
      <c r="I105" s="127" t="s">
        <v>600</v>
      </c>
      <c r="J105" s="127" t="s">
        <v>1788</v>
      </c>
      <c r="K105" s="127" t="s">
        <v>1789</v>
      </c>
      <c r="L105" s="127" t="s">
        <v>519</v>
      </c>
      <c r="M105" s="127" t="s">
        <v>1685</v>
      </c>
      <c r="N105" s="127" t="s">
        <v>1790</v>
      </c>
      <c r="O105" s="127" t="s">
        <v>1791</v>
      </c>
      <c r="P105" s="127" t="s">
        <v>1792</v>
      </c>
      <c r="Q105" s="127" t="s">
        <v>1793</v>
      </c>
      <c r="R105" s="127" t="s">
        <v>1794</v>
      </c>
      <c r="S105" s="127" t="s">
        <v>1795</v>
      </c>
      <c r="T105" s="236" t="s">
        <v>1796</v>
      </c>
      <c r="U105" s="236" t="s">
        <v>1797</v>
      </c>
      <c r="V105" s="127" t="s">
        <v>1798</v>
      </c>
      <c r="W105" s="17">
        <v>2000</v>
      </c>
      <c r="X105" s="127"/>
    </row>
    <row r="106" spans="1:24" ht="29" x14ac:dyDescent="0.35">
      <c r="A106" s="41">
        <v>104</v>
      </c>
      <c r="B106" s="371" t="str">
        <f>+VLOOKUP(C106,'Applications List'!$B$4:$E$181,4,FALSE)</f>
        <v>Operations</v>
      </c>
      <c r="C106" s="133" t="s">
        <v>48</v>
      </c>
      <c r="D106" s="132" t="s">
        <v>123</v>
      </c>
      <c r="E106" s="113" t="s">
        <v>1799</v>
      </c>
      <c r="F106" s="141" t="s">
        <v>1800</v>
      </c>
      <c r="G106" s="127" t="s">
        <v>1801</v>
      </c>
      <c r="H106" s="127" t="s">
        <v>1802</v>
      </c>
      <c r="I106" s="127" t="s">
        <v>533</v>
      </c>
      <c r="J106" s="127" t="s">
        <v>1803</v>
      </c>
      <c r="K106" s="127" t="s">
        <v>1804</v>
      </c>
      <c r="L106" s="127" t="s">
        <v>519</v>
      </c>
      <c r="M106" s="127" t="s">
        <v>1805</v>
      </c>
      <c r="N106" s="127" t="s">
        <v>1806</v>
      </c>
      <c r="O106" s="127" t="s">
        <v>1807</v>
      </c>
      <c r="P106" s="127" t="s">
        <v>1808</v>
      </c>
      <c r="Q106" s="127" t="s">
        <v>1809</v>
      </c>
      <c r="R106" s="127" t="s">
        <v>1810</v>
      </c>
      <c r="S106" s="127" t="s">
        <v>1811</v>
      </c>
      <c r="T106" s="236" t="s">
        <v>1812</v>
      </c>
      <c r="U106" s="236" t="s">
        <v>1813</v>
      </c>
      <c r="V106" s="127" t="s">
        <v>1814</v>
      </c>
      <c r="W106" s="17">
        <v>2008</v>
      </c>
      <c r="X106" s="127"/>
    </row>
    <row r="107" spans="1:24" ht="29" x14ac:dyDescent="0.35">
      <c r="A107" s="41">
        <v>105</v>
      </c>
      <c r="B107" s="371" t="str">
        <f>+VLOOKUP(C107,'Applications List'!$B$4:$E$181,4,FALSE)</f>
        <v>Operations</v>
      </c>
      <c r="C107" s="133" t="s">
        <v>48</v>
      </c>
      <c r="D107" s="132" t="s">
        <v>123</v>
      </c>
      <c r="E107" s="113" t="s">
        <v>1815</v>
      </c>
      <c r="F107" s="141" t="s">
        <v>1816</v>
      </c>
      <c r="G107" s="127" t="s">
        <v>1817</v>
      </c>
      <c r="H107" s="127" t="s">
        <v>1818</v>
      </c>
      <c r="I107" s="127" t="s">
        <v>1819</v>
      </c>
      <c r="J107" s="127" t="s">
        <v>572</v>
      </c>
      <c r="K107" s="127" t="s">
        <v>1820</v>
      </c>
      <c r="L107" s="127" t="s">
        <v>519</v>
      </c>
      <c r="M107" s="127" t="s">
        <v>1821</v>
      </c>
      <c r="N107" s="127" t="s">
        <v>1806</v>
      </c>
      <c r="O107" s="127" t="s">
        <v>1822</v>
      </c>
      <c r="P107" s="127" t="s">
        <v>1823</v>
      </c>
      <c r="Q107" s="127" t="s">
        <v>1824</v>
      </c>
      <c r="R107" s="127" t="s">
        <v>1825</v>
      </c>
      <c r="S107" s="127" t="s">
        <v>1826</v>
      </c>
      <c r="T107" s="235" t="s">
        <v>1827</v>
      </c>
      <c r="U107" s="236" t="s">
        <v>1828</v>
      </c>
      <c r="V107" s="127" t="s">
        <v>1829</v>
      </c>
      <c r="W107" s="17">
        <v>2011</v>
      </c>
      <c r="X107" s="127"/>
    </row>
    <row r="108" spans="1:24" ht="29" x14ac:dyDescent="0.35">
      <c r="A108" s="41">
        <v>106</v>
      </c>
      <c r="B108" s="371" t="str">
        <f>+VLOOKUP(C108,'Applications List'!$B$4:$E$181,4,FALSE)</f>
        <v>Operations</v>
      </c>
      <c r="C108" s="133" t="s">
        <v>48</v>
      </c>
      <c r="D108" s="132" t="s">
        <v>123</v>
      </c>
      <c r="E108" s="113" t="s">
        <v>1830</v>
      </c>
      <c r="F108" s="141" t="s">
        <v>1831</v>
      </c>
      <c r="G108" s="127" t="s">
        <v>1832</v>
      </c>
      <c r="H108" s="127" t="s">
        <v>1833</v>
      </c>
      <c r="I108" s="127" t="s">
        <v>600</v>
      </c>
      <c r="J108" s="127" t="s">
        <v>1834</v>
      </c>
      <c r="K108" s="127" t="s">
        <v>1835</v>
      </c>
      <c r="L108" s="127" t="s">
        <v>519</v>
      </c>
      <c r="M108" s="127" t="s">
        <v>1685</v>
      </c>
      <c r="N108" s="127" t="s">
        <v>1836</v>
      </c>
      <c r="O108" s="127" t="s">
        <v>1837</v>
      </c>
      <c r="P108" s="127" t="s">
        <v>1838</v>
      </c>
      <c r="Q108" s="127" t="s">
        <v>1839</v>
      </c>
      <c r="R108" s="127" t="s">
        <v>1840</v>
      </c>
      <c r="S108" s="127" t="s">
        <v>1841</v>
      </c>
      <c r="T108" s="127" t="s">
        <v>1842</v>
      </c>
      <c r="U108" s="237" t="s">
        <v>1843</v>
      </c>
      <c r="V108" s="127" t="s">
        <v>1844</v>
      </c>
      <c r="W108" s="120">
        <v>2012</v>
      </c>
      <c r="X108" s="127"/>
    </row>
    <row r="109" spans="1:24" ht="29" x14ac:dyDescent="0.35">
      <c r="A109" s="41">
        <v>107</v>
      </c>
      <c r="B109" s="371" t="str">
        <f>+VLOOKUP(C109,'Applications List'!$B$4:$E$181,4,FALSE)</f>
        <v>Operations</v>
      </c>
      <c r="C109" s="133" t="s">
        <v>48</v>
      </c>
      <c r="D109" s="132" t="s">
        <v>128</v>
      </c>
      <c r="E109" s="113" t="s">
        <v>1845</v>
      </c>
      <c r="F109" s="141" t="s">
        <v>1846</v>
      </c>
      <c r="G109" s="127" t="s">
        <v>1847</v>
      </c>
      <c r="H109" s="127" t="s">
        <v>1848</v>
      </c>
      <c r="I109" s="127" t="s">
        <v>600</v>
      </c>
      <c r="J109" s="127" t="s">
        <v>534</v>
      </c>
      <c r="K109" s="127" t="s">
        <v>1849</v>
      </c>
      <c r="L109" s="127" t="s">
        <v>519</v>
      </c>
      <c r="M109" s="127" t="s">
        <v>1850</v>
      </c>
      <c r="N109" s="127" t="s">
        <v>575</v>
      </c>
      <c r="O109" s="127" t="s">
        <v>1851</v>
      </c>
      <c r="P109" s="127" t="s">
        <v>1852</v>
      </c>
      <c r="Q109" s="127" t="s">
        <v>1853</v>
      </c>
      <c r="R109" s="127" t="s">
        <v>1854</v>
      </c>
      <c r="S109" s="127" t="s">
        <v>1855</v>
      </c>
      <c r="T109" s="236" t="s">
        <v>1856</v>
      </c>
      <c r="U109" s="236" t="s">
        <v>1857</v>
      </c>
      <c r="V109" s="127" t="s">
        <v>1858</v>
      </c>
      <c r="W109" s="120">
        <v>2010</v>
      </c>
      <c r="X109" s="127"/>
    </row>
    <row r="110" spans="1:24" ht="29" x14ac:dyDescent="0.35">
      <c r="A110" s="41">
        <v>108</v>
      </c>
      <c r="B110" s="371" t="str">
        <f>+VLOOKUP(C110,'Applications List'!$B$4:$E$181,4,FALSE)</f>
        <v>Operations</v>
      </c>
      <c r="C110" s="133" t="s">
        <v>48</v>
      </c>
      <c r="D110" s="132" t="s">
        <v>128</v>
      </c>
      <c r="E110" s="113" t="s">
        <v>1859</v>
      </c>
      <c r="F110" s="141" t="s">
        <v>1860</v>
      </c>
      <c r="G110" s="127" t="s">
        <v>1861</v>
      </c>
      <c r="H110" s="127" t="s">
        <v>1862</v>
      </c>
      <c r="I110" s="127" t="s">
        <v>533</v>
      </c>
      <c r="J110" s="127" t="s">
        <v>1863</v>
      </c>
      <c r="K110" s="127" t="s">
        <v>1864</v>
      </c>
      <c r="L110" s="127" t="s">
        <v>519</v>
      </c>
      <c r="M110" s="127" t="s">
        <v>574</v>
      </c>
      <c r="N110" s="127" t="s">
        <v>1865</v>
      </c>
      <c r="O110" s="127" t="s">
        <v>1866</v>
      </c>
      <c r="P110" s="127" t="s">
        <v>1867</v>
      </c>
      <c r="Q110" s="127" t="s">
        <v>1868</v>
      </c>
      <c r="R110" s="127" t="s">
        <v>1869</v>
      </c>
      <c r="S110" s="127" t="s">
        <v>1870</v>
      </c>
      <c r="T110" s="235" t="s">
        <v>1871</v>
      </c>
      <c r="U110" s="236" t="s">
        <v>1872</v>
      </c>
      <c r="V110" s="127" t="s">
        <v>1873</v>
      </c>
      <c r="W110" s="120">
        <v>2021</v>
      </c>
    </row>
    <row r="111" spans="1:24" ht="29" x14ac:dyDescent="0.35">
      <c r="A111" s="41">
        <v>109</v>
      </c>
      <c r="B111" s="371" t="str">
        <f>+VLOOKUP(C111,'Applications List'!$B$4:$E$181,4,FALSE)</f>
        <v>Operations</v>
      </c>
      <c r="C111" s="133" t="s">
        <v>48</v>
      </c>
      <c r="D111" s="132" t="s">
        <v>128</v>
      </c>
      <c r="E111" s="113" t="s">
        <v>1874</v>
      </c>
      <c r="F111" s="141" t="s">
        <v>1875</v>
      </c>
      <c r="G111" s="127" t="s">
        <v>1876</v>
      </c>
      <c r="H111" s="127" t="s">
        <v>1877</v>
      </c>
      <c r="I111" s="127" t="s">
        <v>1878</v>
      </c>
      <c r="J111" s="127" t="s">
        <v>534</v>
      </c>
      <c r="K111" s="127" t="s">
        <v>1879</v>
      </c>
      <c r="L111" s="127" t="s">
        <v>1880</v>
      </c>
      <c r="M111" s="127" t="s">
        <v>1881</v>
      </c>
      <c r="N111" s="127" t="s">
        <v>1882</v>
      </c>
      <c r="O111" s="127" t="s">
        <v>1883</v>
      </c>
      <c r="P111" s="127" t="s">
        <v>1884</v>
      </c>
      <c r="Q111" s="127" t="s">
        <v>1885</v>
      </c>
      <c r="R111" s="127" t="s">
        <v>1886</v>
      </c>
      <c r="S111" s="127" t="s">
        <v>1887</v>
      </c>
      <c r="T111" s="236" t="s">
        <v>1888</v>
      </c>
      <c r="U111" s="235" t="s">
        <v>1889</v>
      </c>
      <c r="V111" s="127" t="s">
        <v>1890</v>
      </c>
      <c r="W111" s="120">
        <v>2017</v>
      </c>
    </row>
    <row r="112" spans="1:24" ht="29" x14ac:dyDescent="0.35">
      <c r="A112" s="41">
        <v>110</v>
      </c>
      <c r="B112" s="371" t="str">
        <f>+VLOOKUP(C112,'Applications List'!$B$4:$E$181,4,FALSE)</f>
        <v>Operations</v>
      </c>
      <c r="C112" s="133" t="s">
        <v>48</v>
      </c>
      <c r="D112" s="132" t="s">
        <v>128</v>
      </c>
      <c r="E112" s="113" t="s">
        <v>1905</v>
      </c>
      <c r="F112" s="141" t="s">
        <v>1906</v>
      </c>
      <c r="G112" s="127" t="s">
        <v>1907</v>
      </c>
      <c r="H112" s="127" t="s">
        <v>1908</v>
      </c>
      <c r="I112" s="127" t="s">
        <v>678</v>
      </c>
      <c r="J112" s="127" t="s">
        <v>517</v>
      </c>
      <c r="K112" s="127" t="s">
        <v>1909</v>
      </c>
      <c r="L112" s="127" t="s">
        <v>1910</v>
      </c>
      <c r="M112" s="127" t="s">
        <v>1911</v>
      </c>
      <c r="N112" s="127" t="s">
        <v>1912</v>
      </c>
      <c r="O112" s="127" t="s">
        <v>1913</v>
      </c>
      <c r="P112" s="127" t="s">
        <v>1914</v>
      </c>
      <c r="Q112" s="127" t="s">
        <v>1915</v>
      </c>
      <c r="R112" s="127" t="s">
        <v>1916</v>
      </c>
      <c r="S112" s="127" t="s">
        <v>1917</v>
      </c>
      <c r="T112" s="236" t="s">
        <v>1918</v>
      </c>
      <c r="U112" s="237" t="s">
        <v>1919</v>
      </c>
      <c r="V112" s="127" t="s">
        <v>1920</v>
      </c>
      <c r="W112" s="120">
        <v>2022</v>
      </c>
    </row>
    <row r="113" spans="1:23" ht="29" x14ac:dyDescent="0.35">
      <c r="A113" s="41">
        <v>111</v>
      </c>
      <c r="B113" s="371" t="str">
        <f>+VLOOKUP(C113,'Applications List'!$B$4:$E$181,4,FALSE)</f>
        <v>Operations</v>
      </c>
      <c r="C113" s="133" t="s">
        <v>48</v>
      </c>
      <c r="D113" s="132" t="s">
        <v>128</v>
      </c>
      <c r="E113" s="113" t="s">
        <v>1921</v>
      </c>
      <c r="F113" s="141" t="s">
        <v>1922</v>
      </c>
      <c r="G113" s="127" t="s">
        <v>1923</v>
      </c>
      <c r="H113" s="127" t="s">
        <v>1924</v>
      </c>
      <c r="I113" s="127" t="s">
        <v>533</v>
      </c>
      <c r="J113" s="127" t="s">
        <v>1650</v>
      </c>
      <c r="K113" s="127" t="s">
        <v>1925</v>
      </c>
      <c r="L113" s="127" t="s">
        <v>519</v>
      </c>
      <c r="M113" s="127" t="s">
        <v>588</v>
      </c>
      <c r="N113" s="127" t="s">
        <v>1926</v>
      </c>
      <c r="O113" s="127" t="s">
        <v>561</v>
      </c>
      <c r="P113" s="127" t="s">
        <v>1927</v>
      </c>
      <c r="Q113" s="127" t="s">
        <v>1928</v>
      </c>
      <c r="R113" s="127" t="s">
        <v>1929</v>
      </c>
      <c r="S113" s="127" t="s">
        <v>1930</v>
      </c>
      <c r="T113" s="235" t="s">
        <v>1931</v>
      </c>
      <c r="U113" s="237" t="s">
        <v>1932</v>
      </c>
      <c r="V113" s="127" t="s">
        <v>1933</v>
      </c>
      <c r="W113" s="120">
        <v>2021</v>
      </c>
    </row>
    <row r="114" spans="1:23" ht="29" x14ac:dyDescent="0.35">
      <c r="A114" s="41">
        <v>112</v>
      </c>
      <c r="B114" s="371" t="str">
        <f>+VLOOKUP(C114,'Applications List'!$B$4:$E$181,4,FALSE)</f>
        <v>Operations</v>
      </c>
      <c r="C114" s="133" t="s">
        <v>48</v>
      </c>
      <c r="D114" s="132" t="s">
        <v>128</v>
      </c>
      <c r="E114" s="113" t="s">
        <v>1934</v>
      </c>
      <c r="F114" s="141" t="s">
        <v>1935</v>
      </c>
      <c r="G114" s="127" t="s">
        <v>1936</v>
      </c>
      <c r="H114" s="127" t="s">
        <v>1937</v>
      </c>
      <c r="I114" s="127" t="s">
        <v>779</v>
      </c>
      <c r="J114" s="127" t="s">
        <v>1650</v>
      </c>
      <c r="K114" s="127" t="s">
        <v>1938</v>
      </c>
      <c r="L114" s="127" t="s">
        <v>519</v>
      </c>
      <c r="M114" s="127" t="s">
        <v>1355</v>
      </c>
      <c r="N114" s="127" t="s">
        <v>1939</v>
      </c>
      <c r="O114" s="127" t="s">
        <v>1940</v>
      </c>
      <c r="P114" s="127" t="s">
        <v>1941</v>
      </c>
      <c r="Q114" s="127" t="s">
        <v>1942</v>
      </c>
      <c r="R114" s="127" t="s">
        <v>1943</v>
      </c>
      <c r="S114" s="127" t="s">
        <v>1944</v>
      </c>
      <c r="T114" s="235" t="s">
        <v>1945</v>
      </c>
      <c r="U114" s="237" t="s">
        <v>1919</v>
      </c>
      <c r="V114" s="127" t="s">
        <v>1946</v>
      </c>
      <c r="W114" s="120">
        <v>2020</v>
      </c>
    </row>
    <row r="115" spans="1:23" ht="29" x14ac:dyDescent="0.35">
      <c r="A115" s="41">
        <v>113</v>
      </c>
      <c r="B115" s="371" t="str">
        <f>+VLOOKUP(C115,'Applications List'!$B$4:$E$181,4,FALSE)</f>
        <v>Operations</v>
      </c>
      <c r="C115" s="133" t="s">
        <v>48</v>
      </c>
      <c r="D115" s="132" t="s">
        <v>128</v>
      </c>
      <c r="E115" s="113" t="s">
        <v>1947</v>
      </c>
      <c r="F115" s="141" t="s">
        <v>1948</v>
      </c>
      <c r="G115" s="127" t="s">
        <v>1949</v>
      </c>
      <c r="H115" s="127" t="s">
        <v>1950</v>
      </c>
      <c r="I115" s="127" t="s">
        <v>1951</v>
      </c>
      <c r="J115" s="127" t="s">
        <v>1952</v>
      </c>
      <c r="K115" s="127" t="s">
        <v>958</v>
      </c>
      <c r="L115" s="127" t="s">
        <v>519</v>
      </c>
      <c r="M115" s="127" t="s">
        <v>1685</v>
      </c>
      <c r="N115" s="127" t="s">
        <v>1953</v>
      </c>
      <c r="O115" s="127" t="s">
        <v>1954</v>
      </c>
      <c r="P115" s="127" t="s">
        <v>1955</v>
      </c>
      <c r="Q115" s="127" t="s">
        <v>1956</v>
      </c>
      <c r="R115" s="127" t="s">
        <v>1957</v>
      </c>
      <c r="S115" s="127" t="s">
        <v>1958</v>
      </c>
      <c r="T115" s="236" t="s">
        <v>1959</v>
      </c>
      <c r="U115" s="127"/>
      <c r="V115" s="127" t="s">
        <v>1960</v>
      </c>
      <c r="W115" s="120">
        <v>2024</v>
      </c>
    </row>
    <row r="116" spans="1:23" ht="29" x14ac:dyDescent="0.35">
      <c r="A116" s="41">
        <v>114</v>
      </c>
      <c r="B116" s="371" t="str">
        <f>+VLOOKUP(C116,'Applications List'!$B$4:$E$181,4,FALSE)</f>
        <v>Operations</v>
      </c>
      <c r="C116" s="133" t="s">
        <v>48</v>
      </c>
      <c r="D116" s="132" t="s">
        <v>131</v>
      </c>
      <c r="E116" s="113" t="s">
        <v>1961</v>
      </c>
      <c r="F116" s="31" t="s">
        <v>1962</v>
      </c>
      <c r="G116" t="s">
        <v>1963</v>
      </c>
      <c r="H116" t="s">
        <v>1964</v>
      </c>
      <c r="I116" t="s">
        <v>1965</v>
      </c>
      <c r="J116" t="s">
        <v>534</v>
      </c>
      <c r="K116" t="s">
        <v>1966</v>
      </c>
      <c r="L116" t="s">
        <v>519</v>
      </c>
      <c r="M116" t="s">
        <v>1967</v>
      </c>
      <c r="N116" t="s">
        <v>575</v>
      </c>
      <c r="O116" t="s">
        <v>1776</v>
      </c>
      <c r="P116" t="s">
        <v>1968</v>
      </c>
      <c r="Q116" t="s">
        <v>1969</v>
      </c>
      <c r="R116" t="s">
        <v>1970</v>
      </c>
      <c r="S116" t="s">
        <v>1971</v>
      </c>
      <c r="T116" s="227" t="s">
        <v>1972</v>
      </c>
      <c r="U116" s="238" t="s">
        <v>1973</v>
      </c>
      <c r="V116" t="s">
        <v>1974</v>
      </c>
      <c r="W116" s="17">
        <v>2020</v>
      </c>
    </row>
    <row r="117" spans="1:23" ht="29" x14ac:dyDescent="0.35">
      <c r="A117" s="41">
        <v>115</v>
      </c>
      <c r="B117" s="371" t="str">
        <f>+VLOOKUP(C117,'Applications List'!$B$4:$E$181,4,FALSE)</f>
        <v>Operations</v>
      </c>
      <c r="C117" s="133" t="s">
        <v>48</v>
      </c>
      <c r="D117" s="132" t="s">
        <v>131</v>
      </c>
      <c r="E117" s="113" t="s">
        <v>1975</v>
      </c>
      <c r="F117" s="31" t="s">
        <v>1976</v>
      </c>
      <c r="G117" t="s">
        <v>1977</v>
      </c>
      <c r="H117" t="s">
        <v>1978</v>
      </c>
      <c r="I117" t="s">
        <v>1547</v>
      </c>
      <c r="J117" t="s">
        <v>1979</v>
      </c>
      <c r="K117" t="s">
        <v>1980</v>
      </c>
      <c r="L117" t="s">
        <v>519</v>
      </c>
      <c r="M117" t="s">
        <v>1685</v>
      </c>
      <c r="N117" t="s">
        <v>575</v>
      </c>
      <c r="O117" t="s">
        <v>1776</v>
      </c>
      <c r="P117" t="s">
        <v>1981</v>
      </c>
      <c r="Q117" t="s">
        <v>1982</v>
      </c>
      <c r="R117" t="s">
        <v>1983</v>
      </c>
      <c r="S117" t="s">
        <v>1984</v>
      </c>
      <c r="T117" s="227" t="s">
        <v>1985</v>
      </c>
      <c r="U117" s="227" t="s">
        <v>1986</v>
      </c>
      <c r="V117" t="s">
        <v>1987</v>
      </c>
      <c r="W117" s="17">
        <v>2020</v>
      </c>
    </row>
    <row r="118" spans="1:23" ht="29" x14ac:dyDescent="0.35">
      <c r="A118" s="41">
        <v>116</v>
      </c>
      <c r="B118" s="371" t="str">
        <f>+VLOOKUP(C118,'Applications List'!$B$4:$E$181,4,FALSE)</f>
        <v>Operations</v>
      </c>
      <c r="C118" s="133" t="s">
        <v>48</v>
      </c>
      <c r="D118" s="132" t="s">
        <v>131</v>
      </c>
      <c r="E118" s="113" t="s">
        <v>1988</v>
      </c>
      <c r="F118" s="31" t="s">
        <v>1989</v>
      </c>
      <c r="G118" t="s">
        <v>1990</v>
      </c>
      <c r="H118" t="s">
        <v>1991</v>
      </c>
      <c r="I118" t="s">
        <v>1992</v>
      </c>
      <c r="J118" t="s">
        <v>1993</v>
      </c>
      <c r="K118" t="s">
        <v>1994</v>
      </c>
      <c r="L118" t="s">
        <v>519</v>
      </c>
      <c r="M118" t="s">
        <v>661</v>
      </c>
      <c r="N118" t="s">
        <v>1995</v>
      </c>
      <c r="O118" t="s">
        <v>1996</v>
      </c>
      <c r="P118" t="s">
        <v>1997</v>
      </c>
      <c r="Q118" t="s">
        <v>1998</v>
      </c>
      <c r="R118" t="s">
        <v>1999</v>
      </c>
      <c r="S118" t="s">
        <v>2000</v>
      </c>
      <c r="T118" s="238" t="s">
        <v>2001</v>
      </c>
      <c r="U118" s="238" t="s">
        <v>2002</v>
      </c>
      <c r="V118" t="s">
        <v>2003</v>
      </c>
      <c r="W118" s="17">
        <v>2008</v>
      </c>
    </row>
    <row r="119" spans="1:23" ht="29" x14ac:dyDescent="0.35">
      <c r="A119" s="41">
        <v>117</v>
      </c>
      <c r="B119" s="371" t="str">
        <f>+VLOOKUP(C119,'Applications List'!$B$4:$E$181,4,FALSE)</f>
        <v>Operations</v>
      </c>
      <c r="C119" s="133" t="s">
        <v>48</v>
      </c>
      <c r="D119" s="132" t="s">
        <v>131</v>
      </c>
      <c r="E119" s="113" t="s">
        <v>2004</v>
      </c>
      <c r="F119" s="31" t="s">
        <v>2005</v>
      </c>
      <c r="G119" t="s">
        <v>2006</v>
      </c>
      <c r="H119" t="s">
        <v>2007</v>
      </c>
      <c r="I119" t="s">
        <v>533</v>
      </c>
      <c r="J119" t="s">
        <v>679</v>
      </c>
      <c r="K119" t="s">
        <v>2008</v>
      </c>
      <c r="L119" t="s">
        <v>519</v>
      </c>
      <c r="M119" t="s">
        <v>574</v>
      </c>
      <c r="N119" t="s">
        <v>2009</v>
      </c>
      <c r="O119" t="s">
        <v>2010</v>
      </c>
      <c r="P119" t="s">
        <v>2011</v>
      </c>
      <c r="Q119" t="s">
        <v>2012</v>
      </c>
      <c r="R119" t="s">
        <v>2013</v>
      </c>
      <c r="S119" t="s">
        <v>2014</v>
      </c>
      <c r="T119" s="239" t="s">
        <v>2015</v>
      </c>
      <c r="U119" s="238" t="s">
        <v>2016</v>
      </c>
      <c r="V119" t="s">
        <v>2017</v>
      </c>
      <c r="W119" s="17">
        <v>2020</v>
      </c>
    </row>
    <row r="120" spans="1:23" ht="29" x14ac:dyDescent="0.35">
      <c r="A120" s="41">
        <v>118</v>
      </c>
      <c r="B120" s="371" t="str">
        <f>+VLOOKUP(C120,'Applications List'!$B$4:$E$181,4,FALSE)</f>
        <v>Operations</v>
      </c>
      <c r="C120" s="133" t="s">
        <v>48</v>
      </c>
      <c r="D120" s="132" t="s">
        <v>131</v>
      </c>
      <c r="E120" s="113" t="s">
        <v>2018</v>
      </c>
      <c r="F120" s="31" t="s">
        <v>2019</v>
      </c>
      <c r="G120" t="s">
        <v>2020</v>
      </c>
      <c r="H120" t="s">
        <v>2021</v>
      </c>
      <c r="I120" t="s">
        <v>533</v>
      </c>
      <c r="J120" t="s">
        <v>2022</v>
      </c>
      <c r="K120" t="s">
        <v>2023</v>
      </c>
      <c r="L120" t="s">
        <v>519</v>
      </c>
      <c r="M120" t="s">
        <v>1685</v>
      </c>
      <c r="N120" t="s">
        <v>575</v>
      </c>
      <c r="O120" t="s">
        <v>2024</v>
      </c>
      <c r="P120" t="s">
        <v>2025</v>
      </c>
      <c r="Q120" t="s">
        <v>2026</v>
      </c>
      <c r="R120" t="s">
        <v>2027</v>
      </c>
      <c r="S120" t="s">
        <v>2028</v>
      </c>
      <c r="T120" s="227" t="s">
        <v>2029</v>
      </c>
      <c r="U120" s="238" t="s">
        <v>2030</v>
      </c>
      <c r="V120" t="s">
        <v>2031</v>
      </c>
      <c r="W120" s="17">
        <v>2016</v>
      </c>
    </row>
    <row r="121" spans="1:23" ht="29" x14ac:dyDescent="0.35">
      <c r="A121" s="41">
        <v>119</v>
      </c>
      <c r="B121" s="371" t="str">
        <f>+VLOOKUP(C121,'Applications List'!$B$4:$E$181,4,FALSE)</f>
        <v>Operations</v>
      </c>
      <c r="C121" s="133" t="s">
        <v>48</v>
      </c>
      <c r="D121" s="132" t="s">
        <v>131</v>
      </c>
      <c r="E121" s="113" t="s">
        <v>2032</v>
      </c>
      <c r="F121" s="31" t="s">
        <v>2033</v>
      </c>
      <c r="G121" t="s">
        <v>2034</v>
      </c>
      <c r="H121" t="s">
        <v>2035</v>
      </c>
      <c r="I121" t="s">
        <v>533</v>
      </c>
      <c r="J121" t="s">
        <v>2036</v>
      </c>
      <c r="K121" t="s">
        <v>2037</v>
      </c>
      <c r="L121" t="s">
        <v>519</v>
      </c>
      <c r="M121" t="s">
        <v>661</v>
      </c>
      <c r="N121" t="s">
        <v>1995</v>
      </c>
      <c r="O121" t="s">
        <v>2038</v>
      </c>
      <c r="P121" t="s">
        <v>2039</v>
      </c>
      <c r="Q121" t="s">
        <v>2040</v>
      </c>
      <c r="R121" t="s">
        <v>2041</v>
      </c>
      <c r="S121" t="s">
        <v>2042</v>
      </c>
      <c r="T121" t="s">
        <v>2043</v>
      </c>
      <c r="U121" s="238" t="s">
        <v>2044</v>
      </c>
      <c r="V121" t="s">
        <v>2045</v>
      </c>
      <c r="W121" s="17">
        <v>2018</v>
      </c>
    </row>
    <row r="122" spans="1:23" ht="29" x14ac:dyDescent="0.35">
      <c r="A122" s="41">
        <v>120</v>
      </c>
      <c r="B122" s="371" t="str">
        <f>+VLOOKUP(C122,'Applications List'!$B$4:$E$181,4,FALSE)</f>
        <v>Operations</v>
      </c>
      <c r="C122" s="133" t="s">
        <v>48</v>
      </c>
      <c r="D122" s="132" t="s">
        <v>131</v>
      </c>
      <c r="E122" s="113" t="s">
        <v>2046</v>
      </c>
      <c r="F122" s="31" t="s">
        <v>2047</v>
      </c>
      <c r="G122" t="s">
        <v>2048</v>
      </c>
      <c r="H122" t="s">
        <v>2049</v>
      </c>
      <c r="I122" t="s">
        <v>1486</v>
      </c>
      <c r="J122" t="s">
        <v>2050</v>
      </c>
      <c r="K122" t="s">
        <v>2051</v>
      </c>
      <c r="L122" t="s">
        <v>519</v>
      </c>
      <c r="M122" t="s">
        <v>1685</v>
      </c>
      <c r="N122" t="s">
        <v>2052</v>
      </c>
      <c r="O122" t="s">
        <v>2053</v>
      </c>
      <c r="P122" t="s">
        <v>2054</v>
      </c>
      <c r="Q122" t="s">
        <v>2055</v>
      </c>
      <c r="R122" t="s">
        <v>2056</v>
      </c>
      <c r="S122" t="s">
        <v>2057</v>
      </c>
      <c r="T122" s="227" t="s">
        <v>2058</v>
      </c>
      <c r="U122" s="238" t="s">
        <v>2059</v>
      </c>
      <c r="V122" t="s">
        <v>2060</v>
      </c>
      <c r="W122" s="17">
        <v>2023</v>
      </c>
    </row>
    <row r="123" spans="1:23" ht="29" x14ac:dyDescent="0.35">
      <c r="A123" s="41">
        <v>121</v>
      </c>
      <c r="B123" s="371" t="str">
        <f>+VLOOKUP(C123,'Applications List'!$B$4:$E$181,4,FALSE)</f>
        <v>Operations</v>
      </c>
      <c r="C123" s="133" t="s">
        <v>48</v>
      </c>
      <c r="D123" s="132" t="s">
        <v>131</v>
      </c>
      <c r="E123" s="113" t="s">
        <v>2061</v>
      </c>
      <c r="F123" s="31" t="s">
        <v>2062</v>
      </c>
      <c r="G123" t="s">
        <v>2063</v>
      </c>
      <c r="H123" t="s">
        <v>2064</v>
      </c>
      <c r="I123" t="s">
        <v>533</v>
      </c>
      <c r="J123" t="s">
        <v>2065</v>
      </c>
      <c r="K123" t="s">
        <v>2066</v>
      </c>
      <c r="L123" t="s">
        <v>519</v>
      </c>
      <c r="M123" t="s">
        <v>1685</v>
      </c>
      <c r="N123" t="s">
        <v>2067</v>
      </c>
      <c r="O123" t="s">
        <v>2068</v>
      </c>
      <c r="P123" t="s">
        <v>2069</v>
      </c>
      <c r="Q123" t="s">
        <v>2070</v>
      </c>
      <c r="R123" t="s">
        <v>2071</v>
      </c>
      <c r="S123" t="s">
        <v>2072</v>
      </c>
      <c r="T123" s="238" t="s">
        <v>2073</v>
      </c>
      <c r="U123" s="238" t="s">
        <v>2074</v>
      </c>
      <c r="V123" t="s">
        <v>2075</v>
      </c>
      <c r="W123" s="17">
        <v>2018</v>
      </c>
    </row>
    <row r="124" spans="1:23" ht="29" x14ac:dyDescent="0.35">
      <c r="A124" s="41">
        <v>122</v>
      </c>
      <c r="B124" s="371" t="str">
        <f>+VLOOKUP(C124,'Applications List'!$B$4:$E$181,4,FALSE)</f>
        <v>Operations</v>
      </c>
      <c r="C124" s="133" t="s">
        <v>48</v>
      </c>
      <c r="D124" s="132" t="s">
        <v>137</v>
      </c>
      <c r="E124" s="113" t="s">
        <v>2076</v>
      </c>
      <c r="F124" s="31" t="s">
        <v>2077</v>
      </c>
      <c r="G124" t="s">
        <v>2078</v>
      </c>
      <c r="H124" t="s">
        <v>2079</v>
      </c>
      <c r="I124" t="s">
        <v>2080</v>
      </c>
      <c r="J124" t="s">
        <v>2081</v>
      </c>
      <c r="K124" t="s">
        <v>2082</v>
      </c>
      <c r="L124" t="s">
        <v>519</v>
      </c>
      <c r="M124" t="s">
        <v>574</v>
      </c>
      <c r="N124" t="s">
        <v>575</v>
      </c>
      <c r="O124" t="s">
        <v>2083</v>
      </c>
      <c r="P124" t="s">
        <v>2084</v>
      </c>
      <c r="Q124" t="s">
        <v>2085</v>
      </c>
      <c r="R124" t="s">
        <v>2086</v>
      </c>
      <c r="S124" t="s">
        <v>2087</v>
      </c>
      <c r="T124" s="239" t="s">
        <v>2088</v>
      </c>
      <c r="U124" s="238" t="s">
        <v>2089</v>
      </c>
      <c r="V124" t="s">
        <v>2090</v>
      </c>
      <c r="W124" s="17">
        <v>2023</v>
      </c>
    </row>
    <row r="125" spans="1:23" ht="29" x14ac:dyDescent="0.35">
      <c r="A125" s="41">
        <v>123</v>
      </c>
      <c r="B125" s="371" t="str">
        <f>+VLOOKUP(C125,'Applications List'!$B$4:$E$181,4,FALSE)</f>
        <v>Operations</v>
      </c>
      <c r="C125" s="133" t="s">
        <v>48</v>
      </c>
      <c r="D125" s="132" t="s">
        <v>137</v>
      </c>
      <c r="E125" s="113" t="s">
        <v>2091</v>
      </c>
      <c r="F125" s="31" t="s">
        <v>959</v>
      </c>
      <c r="G125" t="s">
        <v>2092</v>
      </c>
      <c r="H125" t="s">
        <v>2093</v>
      </c>
      <c r="I125" t="s">
        <v>2094</v>
      </c>
      <c r="J125" t="s">
        <v>2095</v>
      </c>
      <c r="K125" t="s">
        <v>2096</v>
      </c>
      <c r="L125" t="s">
        <v>2097</v>
      </c>
      <c r="M125" t="s">
        <v>2098</v>
      </c>
      <c r="N125" t="s">
        <v>2099</v>
      </c>
      <c r="O125" t="s">
        <v>2100</v>
      </c>
      <c r="P125" t="s">
        <v>2101</v>
      </c>
      <c r="Q125" t="s">
        <v>2102</v>
      </c>
      <c r="R125" t="s">
        <v>2103</v>
      </c>
      <c r="S125" t="s">
        <v>2104</v>
      </c>
      <c r="T125" s="238" t="s">
        <v>2105</v>
      </c>
      <c r="U125" s="239" t="s">
        <v>2106</v>
      </c>
      <c r="V125" t="s">
        <v>2107</v>
      </c>
      <c r="W125" s="17">
        <v>2022</v>
      </c>
    </row>
    <row r="126" spans="1:23" ht="29" x14ac:dyDescent="0.35">
      <c r="A126" s="41">
        <v>124</v>
      </c>
      <c r="B126" s="371" t="str">
        <f>+VLOOKUP(C126,'Applications List'!$B$4:$E$181,4,FALSE)</f>
        <v>Operations</v>
      </c>
      <c r="C126" s="133" t="s">
        <v>48</v>
      </c>
      <c r="D126" s="132" t="s">
        <v>137</v>
      </c>
      <c r="E126" s="113" t="s">
        <v>2108</v>
      </c>
      <c r="F126" s="31" t="s">
        <v>2109</v>
      </c>
      <c r="G126" t="s">
        <v>2110</v>
      </c>
      <c r="H126" t="s">
        <v>2111</v>
      </c>
      <c r="I126" t="s">
        <v>2094</v>
      </c>
      <c r="J126" t="s">
        <v>2065</v>
      </c>
      <c r="K126" t="s">
        <v>2112</v>
      </c>
      <c r="L126" t="s">
        <v>2113</v>
      </c>
      <c r="M126" t="s">
        <v>2114</v>
      </c>
      <c r="N126" t="s">
        <v>575</v>
      </c>
      <c r="O126" t="s">
        <v>2115</v>
      </c>
      <c r="P126" t="s">
        <v>2116</v>
      </c>
      <c r="Q126" t="s">
        <v>2117</v>
      </c>
      <c r="R126" t="s">
        <v>2118</v>
      </c>
      <c r="S126" t="s">
        <v>2119</v>
      </c>
      <c r="T126" s="238" t="s">
        <v>2120</v>
      </c>
      <c r="U126" t="s">
        <v>2121</v>
      </c>
      <c r="V126" t="s">
        <v>2122</v>
      </c>
      <c r="W126" s="17">
        <v>2023</v>
      </c>
    </row>
    <row r="127" spans="1:23" ht="29" x14ac:dyDescent="0.35">
      <c r="A127" s="41">
        <v>125</v>
      </c>
      <c r="B127" s="371" t="str">
        <f>+VLOOKUP(C127,'Applications List'!$B$4:$E$181,4,FALSE)</f>
        <v>Operations</v>
      </c>
      <c r="C127" s="133" t="s">
        <v>48</v>
      </c>
      <c r="D127" s="132" t="s">
        <v>137</v>
      </c>
      <c r="E127" s="113" t="s">
        <v>2123</v>
      </c>
      <c r="F127" s="31" t="s">
        <v>1241</v>
      </c>
      <c r="G127" t="s">
        <v>2124</v>
      </c>
      <c r="H127" t="s">
        <v>2125</v>
      </c>
      <c r="I127" t="s">
        <v>2126</v>
      </c>
      <c r="J127" t="s">
        <v>2053</v>
      </c>
      <c r="K127" t="s">
        <v>2127</v>
      </c>
      <c r="L127" t="s">
        <v>519</v>
      </c>
      <c r="M127" t="s">
        <v>2114</v>
      </c>
      <c r="N127" t="s">
        <v>1995</v>
      </c>
      <c r="O127" t="s">
        <v>2083</v>
      </c>
      <c r="P127" t="s">
        <v>2128</v>
      </c>
      <c r="Q127" t="s">
        <v>2129</v>
      </c>
      <c r="R127" t="s">
        <v>2130</v>
      </c>
      <c r="S127" t="s">
        <v>2131</v>
      </c>
      <c r="T127" t="s">
        <v>2132</v>
      </c>
      <c r="U127" s="238" t="s">
        <v>2133</v>
      </c>
      <c r="V127" t="s">
        <v>2134</v>
      </c>
      <c r="W127" s="17">
        <v>2023</v>
      </c>
    </row>
    <row r="128" spans="1:23" ht="29" x14ac:dyDescent="0.35">
      <c r="A128" s="41">
        <v>126</v>
      </c>
      <c r="B128" s="371" t="str">
        <f>+VLOOKUP(C128,'Applications List'!$B$4:$E$181,4,FALSE)</f>
        <v>Operations</v>
      </c>
      <c r="C128" s="133" t="s">
        <v>48</v>
      </c>
      <c r="D128" s="132" t="s">
        <v>137</v>
      </c>
      <c r="E128" s="113" t="s">
        <v>2135</v>
      </c>
      <c r="F128" s="31"/>
      <c r="G128" t="s">
        <v>2136</v>
      </c>
      <c r="H128" t="s">
        <v>2137</v>
      </c>
      <c r="I128" t="s">
        <v>2138</v>
      </c>
      <c r="J128" t="s">
        <v>679</v>
      </c>
      <c r="K128" t="s">
        <v>2139</v>
      </c>
      <c r="L128" t="s">
        <v>519</v>
      </c>
      <c r="M128" t="s">
        <v>1685</v>
      </c>
      <c r="N128" t="s">
        <v>1995</v>
      </c>
      <c r="O128" t="s">
        <v>2140</v>
      </c>
      <c r="P128" t="s">
        <v>2141</v>
      </c>
      <c r="Q128" t="s">
        <v>2142</v>
      </c>
      <c r="R128" t="s">
        <v>2143</v>
      </c>
      <c r="S128" t="s">
        <v>2144</v>
      </c>
      <c r="T128" s="239" t="s">
        <v>2145</v>
      </c>
      <c r="U128" s="238" t="s">
        <v>2146</v>
      </c>
      <c r="V128" t="s">
        <v>2147</v>
      </c>
      <c r="W128" s="17">
        <v>2014</v>
      </c>
    </row>
    <row r="129" spans="1:23" ht="29" x14ac:dyDescent="0.35">
      <c r="A129" s="41">
        <v>127</v>
      </c>
      <c r="B129" s="371" t="str">
        <f>+VLOOKUP(C129,'Applications List'!$B$4:$E$181,4,FALSE)</f>
        <v>Operations</v>
      </c>
      <c r="C129" s="133" t="s">
        <v>48</v>
      </c>
      <c r="D129" s="132" t="s">
        <v>137</v>
      </c>
      <c r="E129" s="113" t="s">
        <v>2148</v>
      </c>
      <c r="F129" s="31" t="s">
        <v>2149</v>
      </c>
      <c r="G129" t="s">
        <v>2150</v>
      </c>
      <c r="H129" t="s">
        <v>2151</v>
      </c>
      <c r="I129" t="s">
        <v>2152</v>
      </c>
      <c r="J129" t="s">
        <v>1993</v>
      </c>
      <c r="K129" t="s">
        <v>2153</v>
      </c>
      <c r="L129" t="s">
        <v>2154</v>
      </c>
      <c r="M129" t="s">
        <v>2098</v>
      </c>
      <c r="N129" t="s">
        <v>575</v>
      </c>
      <c r="O129" t="s">
        <v>2155</v>
      </c>
      <c r="P129" t="s">
        <v>2156</v>
      </c>
      <c r="Q129" t="s">
        <v>2157</v>
      </c>
      <c r="R129" t="s">
        <v>2158</v>
      </c>
      <c r="S129" t="s">
        <v>2159</v>
      </c>
      <c r="T129" s="239" t="s">
        <v>2160</v>
      </c>
      <c r="U129" s="239" t="s">
        <v>2161</v>
      </c>
      <c r="V129" t="s">
        <v>2162</v>
      </c>
      <c r="W129" s="17">
        <v>2013</v>
      </c>
    </row>
    <row r="130" spans="1:23" ht="29" x14ac:dyDescent="0.35">
      <c r="A130" s="41">
        <v>128</v>
      </c>
      <c r="B130" s="371" t="str">
        <f>+VLOOKUP(C130,'Applications List'!$B$4:$E$181,4,FALSE)</f>
        <v>Operations</v>
      </c>
      <c r="C130" s="133" t="s">
        <v>48</v>
      </c>
      <c r="D130" s="132" t="s">
        <v>140</v>
      </c>
      <c r="E130" s="113" t="s">
        <v>2163</v>
      </c>
      <c r="F130" s="31" t="s">
        <v>2164</v>
      </c>
      <c r="G130" t="s">
        <v>2165</v>
      </c>
      <c r="H130" t="s">
        <v>2166</v>
      </c>
      <c r="I130" t="s">
        <v>2167</v>
      </c>
      <c r="J130" t="s">
        <v>1993</v>
      </c>
      <c r="K130" t="s">
        <v>2168</v>
      </c>
      <c r="L130" t="s">
        <v>519</v>
      </c>
      <c r="M130" t="s">
        <v>520</v>
      </c>
      <c r="N130" t="s">
        <v>575</v>
      </c>
      <c r="O130" t="s">
        <v>1650</v>
      </c>
      <c r="P130" t="s">
        <v>2169</v>
      </c>
      <c r="Q130" t="s">
        <v>2170</v>
      </c>
      <c r="R130" t="s">
        <v>2171</v>
      </c>
      <c r="S130" t="s">
        <v>2172</v>
      </c>
      <c r="T130" t="s">
        <v>2173</v>
      </c>
      <c r="U130" s="238" t="s">
        <v>2174</v>
      </c>
      <c r="V130" t="s">
        <v>2175</v>
      </c>
      <c r="W130" s="17">
        <v>2018</v>
      </c>
    </row>
    <row r="131" spans="1:23" ht="29" x14ac:dyDescent="0.35">
      <c r="A131" s="41">
        <v>129</v>
      </c>
      <c r="B131" s="371" t="str">
        <f>+VLOOKUP(C131,'Applications List'!$B$4:$E$181,4,FALSE)</f>
        <v>Operations</v>
      </c>
      <c r="C131" s="133" t="s">
        <v>48</v>
      </c>
      <c r="D131" s="132" t="s">
        <v>140</v>
      </c>
      <c r="E131" s="113" t="s">
        <v>2176</v>
      </c>
      <c r="F131" s="31" t="s">
        <v>2177</v>
      </c>
      <c r="G131" t="s">
        <v>2178</v>
      </c>
      <c r="H131" t="s">
        <v>2179</v>
      </c>
      <c r="I131" t="s">
        <v>2180</v>
      </c>
      <c r="J131" t="s">
        <v>2065</v>
      </c>
      <c r="K131" t="s">
        <v>2181</v>
      </c>
      <c r="L131" t="s">
        <v>519</v>
      </c>
      <c r="M131" t="s">
        <v>2182</v>
      </c>
      <c r="N131" t="s">
        <v>1343</v>
      </c>
      <c r="O131" t="s">
        <v>575</v>
      </c>
      <c r="P131" t="s">
        <v>2183</v>
      </c>
      <c r="Q131" t="s">
        <v>2184</v>
      </c>
      <c r="R131" t="s">
        <v>2185</v>
      </c>
      <c r="S131" t="s">
        <v>2186</v>
      </c>
      <c r="T131" t="s">
        <v>2187</v>
      </c>
      <c r="U131" s="239" t="s">
        <v>2188</v>
      </c>
      <c r="V131" t="s">
        <v>2189</v>
      </c>
      <c r="W131" s="17">
        <v>2022</v>
      </c>
    </row>
    <row r="132" spans="1:23" ht="29" x14ac:dyDescent="0.35">
      <c r="A132" s="41">
        <v>130</v>
      </c>
      <c r="B132" s="371" t="str">
        <f>+VLOOKUP(C132,'Applications List'!$B$4:$E$181,4,FALSE)</f>
        <v>Operations</v>
      </c>
      <c r="C132" s="133" t="s">
        <v>48</v>
      </c>
      <c r="D132" s="132" t="s">
        <v>140</v>
      </c>
      <c r="E132" s="113" t="s">
        <v>2190</v>
      </c>
      <c r="F132" s="31" t="s">
        <v>2191</v>
      </c>
      <c r="G132" t="s">
        <v>2192</v>
      </c>
      <c r="H132" t="s">
        <v>2193</v>
      </c>
      <c r="I132" t="s">
        <v>678</v>
      </c>
      <c r="J132" t="s">
        <v>2065</v>
      </c>
      <c r="K132" t="s">
        <v>2194</v>
      </c>
      <c r="L132" t="s">
        <v>519</v>
      </c>
      <c r="M132" t="s">
        <v>2195</v>
      </c>
      <c r="N132" t="s">
        <v>1995</v>
      </c>
      <c r="O132" t="s">
        <v>2196</v>
      </c>
      <c r="P132" t="s">
        <v>2197</v>
      </c>
      <c r="Q132" t="s">
        <v>2198</v>
      </c>
      <c r="R132" t="s">
        <v>2199</v>
      </c>
      <c r="S132" t="s">
        <v>2200</v>
      </c>
      <c r="T132" t="s">
        <v>2201</v>
      </c>
      <c r="U132" s="239" t="s">
        <v>2202</v>
      </c>
      <c r="V132" t="s">
        <v>2203</v>
      </c>
      <c r="W132" s="17">
        <v>2018</v>
      </c>
    </row>
    <row r="133" spans="1:23" ht="29" x14ac:dyDescent="0.35">
      <c r="A133" s="41">
        <v>131</v>
      </c>
      <c r="B133" s="371" t="str">
        <f>+VLOOKUP(C133,'Applications List'!$B$4:$E$181,4,FALSE)</f>
        <v>Operations</v>
      </c>
      <c r="C133" s="133" t="s">
        <v>48</v>
      </c>
      <c r="D133" s="132" t="s">
        <v>140</v>
      </c>
      <c r="E133" s="113" t="s">
        <v>2204</v>
      </c>
      <c r="F133" s="31" t="s">
        <v>2205</v>
      </c>
      <c r="G133" t="s">
        <v>2206</v>
      </c>
      <c r="H133" t="s">
        <v>2207</v>
      </c>
      <c r="I133" t="s">
        <v>2208</v>
      </c>
      <c r="J133" t="s">
        <v>2065</v>
      </c>
      <c r="K133" t="s">
        <v>2209</v>
      </c>
      <c r="L133" t="s">
        <v>519</v>
      </c>
      <c r="M133" t="s">
        <v>2182</v>
      </c>
      <c r="N133" t="s">
        <v>1343</v>
      </c>
      <c r="O133" t="s">
        <v>2210</v>
      </c>
      <c r="P133" t="s">
        <v>2211</v>
      </c>
      <c r="Q133" t="s">
        <v>2212</v>
      </c>
      <c r="R133" t="s">
        <v>2213</v>
      </c>
      <c r="S133" t="s">
        <v>2214</v>
      </c>
      <c r="T133" t="s">
        <v>2215</v>
      </c>
      <c r="U133" s="239" t="s">
        <v>2216</v>
      </c>
      <c r="V133" t="s">
        <v>2217</v>
      </c>
      <c r="W133" s="17">
        <v>2023</v>
      </c>
    </row>
    <row r="134" spans="1:23" ht="29" x14ac:dyDescent="0.35">
      <c r="A134" s="41">
        <v>132</v>
      </c>
      <c r="B134" s="371" t="str">
        <f>+VLOOKUP(C134,'Applications List'!$B$4:$E$181,4,FALSE)</f>
        <v>Operations</v>
      </c>
      <c r="C134" s="133" t="s">
        <v>48</v>
      </c>
      <c r="D134" s="132" t="s">
        <v>140</v>
      </c>
      <c r="E134" s="113" t="s">
        <v>2218</v>
      </c>
      <c r="F134" s="31" t="s">
        <v>2219</v>
      </c>
      <c r="G134" t="s">
        <v>2220</v>
      </c>
      <c r="H134" t="s">
        <v>2221</v>
      </c>
      <c r="I134" t="s">
        <v>533</v>
      </c>
      <c r="J134" t="s">
        <v>2222</v>
      </c>
      <c r="K134" t="s">
        <v>2223</v>
      </c>
      <c r="L134" t="s">
        <v>519</v>
      </c>
      <c r="M134" t="s">
        <v>574</v>
      </c>
      <c r="N134" t="s">
        <v>575</v>
      </c>
      <c r="O134" t="s">
        <v>1241</v>
      </c>
      <c r="P134" t="s">
        <v>2224</v>
      </c>
      <c r="Q134" t="s">
        <v>2225</v>
      </c>
      <c r="R134" t="s">
        <v>2226</v>
      </c>
      <c r="S134" t="s">
        <v>2227</v>
      </c>
      <c r="T134" s="239" t="s">
        <v>2228</v>
      </c>
      <c r="V134" t="s">
        <v>2229</v>
      </c>
      <c r="W134" s="17">
        <v>2020</v>
      </c>
    </row>
    <row r="135" spans="1:23" ht="29" x14ac:dyDescent="0.35">
      <c r="A135" s="41">
        <v>133</v>
      </c>
      <c r="B135" s="371" t="str">
        <f>+VLOOKUP(C135,'Applications List'!$B$4:$E$181,4,FALSE)</f>
        <v>Operations</v>
      </c>
      <c r="C135" s="133" t="s">
        <v>48</v>
      </c>
      <c r="D135" s="132" t="s">
        <v>140</v>
      </c>
      <c r="E135" s="113" t="s">
        <v>2230</v>
      </c>
      <c r="F135" s="31" t="s">
        <v>2231</v>
      </c>
      <c r="G135" t="s">
        <v>2232</v>
      </c>
      <c r="H135" t="s">
        <v>2233</v>
      </c>
      <c r="I135" t="s">
        <v>1105</v>
      </c>
      <c r="J135" t="s">
        <v>2234</v>
      </c>
      <c r="K135" t="s">
        <v>2235</v>
      </c>
      <c r="L135" t="s">
        <v>519</v>
      </c>
      <c r="M135" t="s">
        <v>2236</v>
      </c>
      <c r="N135" t="s">
        <v>1343</v>
      </c>
      <c r="O135" t="s">
        <v>2237</v>
      </c>
      <c r="P135" t="s">
        <v>2238</v>
      </c>
      <c r="Q135" t="s">
        <v>2239</v>
      </c>
      <c r="R135" t="s">
        <v>2240</v>
      </c>
      <c r="S135" t="s">
        <v>2241</v>
      </c>
      <c r="T135" t="s">
        <v>2242</v>
      </c>
      <c r="U135" s="239" t="s">
        <v>2243</v>
      </c>
      <c r="V135" t="s">
        <v>2244</v>
      </c>
      <c r="W135" s="17">
        <v>2023</v>
      </c>
    </row>
    <row r="136" spans="1:23" ht="29" x14ac:dyDescent="0.35">
      <c r="A136" s="41">
        <v>134</v>
      </c>
      <c r="B136" s="371" t="str">
        <f>+VLOOKUP(C136,'Applications List'!$B$4:$E$181,4,FALSE)</f>
        <v>Operations</v>
      </c>
      <c r="C136" s="133" t="s">
        <v>48</v>
      </c>
      <c r="D136" s="132" t="s">
        <v>140</v>
      </c>
      <c r="E136" s="113" t="s">
        <v>2245</v>
      </c>
      <c r="F136" s="31" t="s">
        <v>2246</v>
      </c>
      <c r="G136" t="s">
        <v>2247</v>
      </c>
      <c r="H136" t="s">
        <v>2248</v>
      </c>
      <c r="I136" t="s">
        <v>1461</v>
      </c>
      <c r="J136" t="s">
        <v>2065</v>
      </c>
      <c r="K136" t="s">
        <v>2249</v>
      </c>
      <c r="L136" t="s">
        <v>519</v>
      </c>
      <c r="M136" t="s">
        <v>574</v>
      </c>
      <c r="N136" t="s">
        <v>575</v>
      </c>
      <c r="O136" t="s">
        <v>1776</v>
      </c>
      <c r="P136" t="s">
        <v>2250</v>
      </c>
      <c r="Q136" t="s">
        <v>2251</v>
      </c>
      <c r="R136" t="s">
        <v>2252</v>
      </c>
      <c r="S136" t="s">
        <v>2253</v>
      </c>
      <c r="T136" t="s">
        <v>2254</v>
      </c>
      <c r="U136" s="239" t="s">
        <v>2255</v>
      </c>
      <c r="V136" t="s">
        <v>2256</v>
      </c>
      <c r="W136" s="17">
        <v>2020</v>
      </c>
    </row>
    <row r="137" spans="1:23" ht="29" x14ac:dyDescent="0.35">
      <c r="A137" s="41">
        <v>135</v>
      </c>
      <c r="B137" s="371" t="str">
        <f>+VLOOKUP(C137,'Applications List'!$B$4:$E$181,4,FALSE)</f>
        <v>Operations</v>
      </c>
      <c r="C137" s="133" t="s">
        <v>48</v>
      </c>
      <c r="D137" s="132" t="s">
        <v>140</v>
      </c>
      <c r="E137" s="113" t="s">
        <v>2257</v>
      </c>
      <c r="F137" s="31" t="s">
        <v>2258</v>
      </c>
      <c r="G137" t="s">
        <v>2259</v>
      </c>
      <c r="H137" t="s">
        <v>2260</v>
      </c>
      <c r="I137" t="s">
        <v>2261</v>
      </c>
      <c r="J137" t="s">
        <v>2065</v>
      </c>
      <c r="K137" t="s">
        <v>2262</v>
      </c>
      <c r="L137" t="s">
        <v>519</v>
      </c>
      <c r="M137" t="s">
        <v>2263</v>
      </c>
      <c r="N137" t="s">
        <v>1995</v>
      </c>
      <c r="O137" t="s">
        <v>2264</v>
      </c>
      <c r="P137" t="s">
        <v>2265</v>
      </c>
      <c r="Q137" t="s">
        <v>2266</v>
      </c>
      <c r="R137" t="s">
        <v>2267</v>
      </c>
      <c r="S137" t="s">
        <v>2000</v>
      </c>
      <c r="T137" t="s">
        <v>2268</v>
      </c>
      <c r="U137" s="239" t="s">
        <v>2269</v>
      </c>
      <c r="V137" t="s">
        <v>2270</v>
      </c>
      <c r="W137" s="17">
        <v>2014</v>
      </c>
    </row>
    <row r="138" spans="1:23" ht="29" x14ac:dyDescent="0.35">
      <c r="A138" s="41">
        <v>136</v>
      </c>
      <c r="B138" s="371" t="str">
        <f>+VLOOKUP(C138,'Applications List'!$B$4:$E$181,4,FALSE)</f>
        <v>Operations</v>
      </c>
      <c r="C138" s="133" t="s">
        <v>48</v>
      </c>
      <c r="D138" s="132" t="s">
        <v>140</v>
      </c>
      <c r="E138" s="113" t="s">
        <v>2271</v>
      </c>
      <c r="F138" s="31" t="s">
        <v>2258</v>
      </c>
      <c r="G138" t="s">
        <v>2272</v>
      </c>
      <c r="H138" t="s">
        <v>2273</v>
      </c>
      <c r="I138" t="s">
        <v>2274</v>
      </c>
      <c r="J138" t="s">
        <v>2065</v>
      </c>
      <c r="K138" t="s">
        <v>2275</v>
      </c>
      <c r="L138" t="s">
        <v>519</v>
      </c>
      <c r="M138" t="s">
        <v>2195</v>
      </c>
      <c r="N138" t="s">
        <v>1343</v>
      </c>
      <c r="O138" t="s">
        <v>2276</v>
      </c>
      <c r="P138" t="s">
        <v>2277</v>
      </c>
      <c r="Q138" t="s">
        <v>2278</v>
      </c>
      <c r="R138" t="s">
        <v>2279</v>
      </c>
      <c r="S138" t="s">
        <v>2280</v>
      </c>
      <c r="T138" t="s">
        <v>2281</v>
      </c>
      <c r="U138" s="239" t="s">
        <v>2282</v>
      </c>
      <c r="V138" t="s">
        <v>2283</v>
      </c>
      <c r="W138" s="17">
        <v>2020</v>
      </c>
    </row>
    <row r="139" spans="1:23" ht="29" x14ac:dyDescent="0.35">
      <c r="A139" s="41">
        <v>137</v>
      </c>
      <c r="B139" s="371" t="str">
        <f>+VLOOKUP(C139,'Applications List'!$B$4:$E$181,4,FALSE)</f>
        <v>Operations</v>
      </c>
      <c r="C139" s="133" t="s">
        <v>48</v>
      </c>
      <c r="D139" s="132" t="s">
        <v>140</v>
      </c>
      <c r="E139" s="113" t="s">
        <v>2284</v>
      </c>
      <c r="F139" s="31" t="s">
        <v>2285</v>
      </c>
      <c r="G139" t="s">
        <v>2286</v>
      </c>
      <c r="H139" t="s">
        <v>2287</v>
      </c>
      <c r="I139" t="s">
        <v>533</v>
      </c>
      <c r="J139" t="s">
        <v>2065</v>
      </c>
      <c r="K139" t="s">
        <v>2288</v>
      </c>
      <c r="L139" t="s">
        <v>519</v>
      </c>
      <c r="M139" t="s">
        <v>2195</v>
      </c>
      <c r="N139" t="s">
        <v>575</v>
      </c>
      <c r="O139" t="s">
        <v>2289</v>
      </c>
      <c r="P139" t="s">
        <v>2290</v>
      </c>
      <c r="Q139" t="s">
        <v>2291</v>
      </c>
      <c r="R139" t="s">
        <v>2292</v>
      </c>
      <c r="S139" t="s">
        <v>2293</v>
      </c>
      <c r="T139" t="s">
        <v>2294</v>
      </c>
      <c r="U139" s="239" t="s">
        <v>2295</v>
      </c>
      <c r="V139" t="s">
        <v>2296</v>
      </c>
      <c r="W139" s="17">
        <v>2015</v>
      </c>
    </row>
    <row r="140" spans="1:23" x14ac:dyDescent="0.35">
      <c r="A140" s="41">
        <v>138</v>
      </c>
      <c r="B140" s="371" t="str">
        <f>+VLOOKUP(C140,'Applications List'!$B$4:$E$181,4,FALSE)</f>
        <v>Emerging Innovation</v>
      </c>
      <c r="C140" s="133" t="s">
        <v>87</v>
      </c>
      <c r="D140" s="132" t="s">
        <v>438</v>
      </c>
      <c r="E140" s="113" t="s">
        <v>2297</v>
      </c>
      <c r="F140" s="31" t="s">
        <v>2298</v>
      </c>
      <c r="G140" t="s">
        <v>2299</v>
      </c>
      <c r="H140" t="s">
        <v>2300</v>
      </c>
      <c r="I140" t="s">
        <v>2301</v>
      </c>
      <c r="J140" t="s">
        <v>2302</v>
      </c>
      <c r="K140" t="s">
        <v>2303</v>
      </c>
      <c r="L140" t="s">
        <v>519</v>
      </c>
      <c r="M140" t="s">
        <v>574</v>
      </c>
      <c r="N140" t="s">
        <v>1995</v>
      </c>
      <c r="O140" t="s">
        <v>2083</v>
      </c>
      <c r="P140" t="s">
        <v>2304</v>
      </c>
      <c r="Q140" t="s">
        <v>2305</v>
      </c>
      <c r="R140" t="s">
        <v>2306</v>
      </c>
      <c r="S140" t="s">
        <v>2307</v>
      </c>
      <c r="T140" t="s">
        <v>2308</v>
      </c>
      <c r="U140" s="238" t="s">
        <v>2309</v>
      </c>
      <c r="V140" t="s">
        <v>2310</v>
      </c>
      <c r="W140" s="17">
        <v>2024</v>
      </c>
    </row>
    <row r="141" spans="1:23" x14ac:dyDescent="0.35">
      <c r="A141" s="41">
        <v>139</v>
      </c>
      <c r="B141" s="371" t="str">
        <f>+VLOOKUP(C141,'Applications List'!$B$4:$E$181,4,FALSE)</f>
        <v>Emerging Innovation</v>
      </c>
      <c r="C141" s="133" t="s">
        <v>87</v>
      </c>
      <c r="D141" s="132" t="s">
        <v>438</v>
      </c>
      <c r="E141" s="113" t="s">
        <v>2311</v>
      </c>
      <c r="F141" s="31" t="s">
        <v>2047</v>
      </c>
      <c r="G141" t="s">
        <v>2312</v>
      </c>
      <c r="H141" t="s">
        <v>2313</v>
      </c>
      <c r="I141" t="s">
        <v>2314</v>
      </c>
      <c r="J141" t="s">
        <v>2065</v>
      </c>
      <c r="K141" t="s">
        <v>2315</v>
      </c>
      <c r="L141" t="s">
        <v>519</v>
      </c>
      <c r="M141" t="s">
        <v>563</v>
      </c>
      <c r="N141" t="s">
        <v>575</v>
      </c>
      <c r="O141" t="s">
        <v>1776</v>
      </c>
      <c r="P141" t="s">
        <v>2316</v>
      </c>
      <c r="Q141" t="s">
        <v>2317</v>
      </c>
      <c r="R141" t="s">
        <v>2318</v>
      </c>
      <c r="S141" t="s">
        <v>2319</v>
      </c>
      <c r="T141" t="s">
        <v>2320</v>
      </c>
      <c r="U141" s="239" t="s">
        <v>2321</v>
      </c>
      <c r="V141" t="s">
        <v>2322</v>
      </c>
      <c r="W141" s="17">
        <v>2022</v>
      </c>
    </row>
    <row r="142" spans="1:23" x14ac:dyDescent="0.35">
      <c r="A142" s="41">
        <v>140</v>
      </c>
      <c r="B142" s="371" t="str">
        <f>+VLOOKUP(C142,'Applications List'!$B$4:$E$181,4,FALSE)</f>
        <v>Emerging Innovation</v>
      </c>
      <c r="C142" s="133" t="s">
        <v>87</v>
      </c>
      <c r="D142" s="132" t="s">
        <v>438</v>
      </c>
      <c r="E142" s="113" t="s">
        <v>2323</v>
      </c>
      <c r="F142" s="31" t="s">
        <v>2033</v>
      </c>
      <c r="G142" t="s">
        <v>2324</v>
      </c>
      <c r="H142" t="s">
        <v>2325</v>
      </c>
      <c r="I142" t="s">
        <v>2326</v>
      </c>
      <c r="J142" t="s">
        <v>2065</v>
      </c>
      <c r="K142" t="s">
        <v>2327</v>
      </c>
      <c r="L142" t="s">
        <v>519</v>
      </c>
      <c r="M142" t="s">
        <v>2195</v>
      </c>
      <c r="N142" t="s">
        <v>1995</v>
      </c>
      <c r="O142" t="s">
        <v>1776</v>
      </c>
      <c r="P142" t="s">
        <v>2328</v>
      </c>
      <c r="Q142" t="s">
        <v>2329</v>
      </c>
      <c r="R142" t="s">
        <v>2330</v>
      </c>
      <c r="S142" t="s">
        <v>2331</v>
      </c>
      <c r="T142" t="s">
        <v>2332</v>
      </c>
      <c r="U142" s="238" t="s">
        <v>2333</v>
      </c>
      <c r="V142" t="s">
        <v>2334</v>
      </c>
      <c r="W142" s="17">
        <v>2020</v>
      </c>
    </row>
    <row r="143" spans="1:23" ht="16.5" x14ac:dyDescent="0.45">
      <c r="A143" s="41">
        <v>141</v>
      </c>
      <c r="B143" s="371" t="str">
        <f>+VLOOKUP(C143,'Applications List'!$B$4:$E$181,4,FALSE)</f>
        <v>Emerging Innovation</v>
      </c>
      <c r="C143" s="133" t="s">
        <v>87</v>
      </c>
      <c r="D143" s="132" t="s">
        <v>438</v>
      </c>
      <c r="E143" s="113" t="s">
        <v>2335</v>
      </c>
      <c r="F143" s="142" t="s">
        <v>2336</v>
      </c>
      <c r="G143" t="s">
        <v>2337</v>
      </c>
      <c r="H143" t="s">
        <v>2338</v>
      </c>
      <c r="I143" t="s">
        <v>2339</v>
      </c>
      <c r="J143" t="s">
        <v>2234</v>
      </c>
      <c r="K143" t="s">
        <v>2340</v>
      </c>
      <c r="L143" t="s">
        <v>519</v>
      </c>
      <c r="M143" t="s">
        <v>2182</v>
      </c>
      <c r="N143" t="s">
        <v>589</v>
      </c>
      <c r="O143" t="s">
        <v>2068</v>
      </c>
      <c r="P143" t="s">
        <v>2341</v>
      </c>
      <c r="Q143" t="s">
        <v>2342</v>
      </c>
      <c r="R143" t="s">
        <v>2343</v>
      </c>
      <c r="S143" t="s">
        <v>2344</v>
      </c>
      <c r="T143" t="s">
        <v>2345</v>
      </c>
      <c r="U143" s="238" t="s">
        <v>2346</v>
      </c>
      <c r="V143" t="s">
        <v>2347</v>
      </c>
      <c r="W143" s="17">
        <v>2010</v>
      </c>
    </row>
    <row r="144" spans="1:23" x14ac:dyDescent="0.35">
      <c r="A144" s="41">
        <v>142</v>
      </c>
      <c r="B144" s="371" t="str">
        <f>+VLOOKUP(C144,'Applications List'!$B$4:$E$181,4,FALSE)</f>
        <v>Emerging Innovation</v>
      </c>
      <c r="C144" s="133" t="s">
        <v>87</v>
      </c>
      <c r="D144" s="132" t="s">
        <v>438</v>
      </c>
      <c r="E144" s="113" t="s">
        <v>2348</v>
      </c>
      <c r="F144" s="31" t="s">
        <v>2349</v>
      </c>
      <c r="G144" t="s">
        <v>2350</v>
      </c>
      <c r="H144" t="s">
        <v>2351</v>
      </c>
      <c r="I144" t="s">
        <v>2352</v>
      </c>
      <c r="J144" t="s">
        <v>1993</v>
      </c>
      <c r="K144" t="s">
        <v>2353</v>
      </c>
      <c r="L144" t="s">
        <v>519</v>
      </c>
      <c r="M144" t="s">
        <v>2354</v>
      </c>
      <c r="N144" t="s">
        <v>1995</v>
      </c>
      <c r="O144" t="s">
        <v>2355</v>
      </c>
      <c r="P144" t="s">
        <v>2356</v>
      </c>
      <c r="Q144" t="s">
        <v>2357</v>
      </c>
      <c r="R144" t="s">
        <v>2358</v>
      </c>
      <c r="S144" t="s">
        <v>2359</v>
      </c>
      <c r="T144" t="s">
        <v>2360</v>
      </c>
      <c r="U144" s="239" t="s">
        <v>2361</v>
      </c>
      <c r="V144" t="s">
        <v>2362</v>
      </c>
      <c r="W144" s="17">
        <v>2007</v>
      </c>
    </row>
    <row r="145" spans="1:23" x14ac:dyDescent="0.35">
      <c r="A145" s="41">
        <v>143</v>
      </c>
      <c r="B145" s="371" t="str">
        <f>+VLOOKUP(C145,'Applications List'!$B$4:$E$181,4,FALSE)</f>
        <v>Emerging Innovation</v>
      </c>
      <c r="C145" s="133" t="s">
        <v>87</v>
      </c>
      <c r="D145" s="132" t="s">
        <v>438</v>
      </c>
      <c r="E145" s="113" t="s">
        <v>2363</v>
      </c>
      <c r="F145" s="31" t="s">
        <v>2364</v>
      </c>
      <c r="G145" t="s">
        <v>2365</v>
      </c>
      <c r="H145" t="s">
        <v>2366</v>
      </c>
      <c r="I145" t="s">
        <v>2367</v>
      </c>
      <c r="J145" t="s">
        <v>2065</v>
      </c>
      <c r="K145" t="s">
        <v>2368</v>
      </c>
      <c r="L145" t="s">
        <v>519</v>
      </c>
      <c r="M145" t="s">
        <v>574</v>
      </c>
      <c r="N145" t="s">
        <v>575</v>
      </c>
      <c r="O145" t="s">
        <v>2068</v>
      </c>
      <c r="P145" t="s">
        <v>2369</v>
      </c>
      <c r="Q145" t="s">
        <v>2370</v>
      </c>
      <c r="R145" t="s">
        <v>2371</v>
      </c>
      <c r="S145" t="s">
        <v>2372</v>
      </c>
      <c r="T145" s="239" t="s">
        <v>2373</v>
      </c>
      <c r="U145" t="s">
        <v>2374</v>
      </c>
      <c r="V145" t="s">
        <v>2375</v>
      </c>
      <c r="W145" s="17">
        <v>2020</v>
      </c>
    </row>
    <row r="146" spans="1:23" x14ac:dyDescent="0.35">
      <c r="A146" s="41">
        <v>144</v>
      </c>
      <c r="B146" s="371" t="str">
        <f>+VLOOKUP(C146,'Applications List'!$B$4:$E$181,4,FALSE)</f>
        <v>Emerging Innovation</v>
      </c>
      <c r="C146" s="133" t="s">
        <v>87</v>
      </c>
      <c r="D146" s="132" t="s">
        <v>441</v>
      </c>
      <c r="E146" s="113" t="s">
        <v>2376</v>
      </c>
      <c r="F146" s="31" t="s">
        <v>2377</v>
      </c>
      <c r="G146" t="s">
        <v>2378</v>
      </c>
      <c r="H146" t="s">
        <v>2379</v>
      </c>
      <c r="I146" t="s">
        <v>2380</v>
      </c>
      <c r="J146" t="s">
        <v>1993</v>
      </c>
      <c r="K146" t="s">
        <v>2381</v>
      </c>
      <c r="L146" t="s">
        <v>519</v>
      </c>
      <c r="M146" t="s">
        <v>1685</v>
      </c>
      <c r="N146" t="s">
        <v>575</v>
      </c>
      <c r="O146" t="s">
        <v>2382</v>
      </c>
      <c r="P146" t="s">
        <v>2383</v>
      </c>
      <c r="Q146" t="s">
        <v>2384</v>
      </c>
      <c r="R146" t="s">
        <v>2385</v>
      </c>
      <c r="S146" t="s">
        <v>2386</v>
      </c>
      <c r="T146" s="239" t="s">
        <v>2387</v>
      </c>
      <c r="U146" s="239" t="s">
        <v>2388</v>
      </c>
      <c r="V146" t="s">
        <v>2389</v>
      </c>
      <c r="W146" s="17">
        <v>2008</v>
      </c>
    </row>
    <row r="147" spans="1:23" x14ac:dyDescent="0.35">
      <c r="A147" s="41">
        <v>145</v>
      </c>
      <c r="B147" s="371" t="str">
        <f>+VLOOKUP(C147,'Applications List'!$B$4:$E$181,4,FALSE)</f>
        <v>Emerging Innovation</v>
      </c>
      <c r="C147" s="133" t="s">
        <v>87</v>
      </c>
      <c r="D147" s="132" t="s">
        <v>441</v>
      </c>
      <c r="E147" s="113" t="s">
        <v>2390</v>
      </c>
      <c r="F147" s="31" t="s">
        <v>2391</v>
      </c>
      <c r="G147" t="s">
        <v>2392</v>
      </c>
      <c r="H147" t="s">
        <v>2393</v>
      </c>
      <c r="I147" t="s">
        <v>533</v>
      </c>
      <c r="J147" t="s">
        <v>2065</v>
      </c>
      <c r="K147" t="s">
        <v>2394</v>
      </c>
      <c r="L147" t="s">
        <v>519</v>
      </c>
      <c r="M147" t="s">
        <v>2395</v>
      </c>
      <c r="N147" t="s">
        <v>1995</v>
      </c>
      <c r="O147" t="s">
        <v>2396</v>
      </c>
      <c r="P147" t="s">
        <v>2397</v>
      </c>
      <c r="Q147" t="s">
        <v>2398</v>
      </c>
      <c r="R147" t="s">
        <v>2399</v>
      </c>
      <c r="S147" t="s">
        <v>2400</v>
      </c>
      <c r="T147" s="239" t="s">
        <v>2401</v>
      </c>
      <c r="U147" s="238" t="s">
        <v>2402</v>
      </c>
      <c r="V147" t="s">
        <v>2403</v>
      </c>
      <c r="W147" s="17">
        <v>2021</v>
      </c>
    </row>
    <row r="148" spans="1:23" x14ac:dyDescent="0.35">
      <c r="A148" s="41">
        <v>146</v>
      </c>
      <c r="B148" s="371" t="str">
        <f>+VLOOKUP(C148,'Applications List'!$B$4:$E$181,4,FALSE)</f>
        <v>Emerging Innovation</v>
      </c>
      <c r="C148" s="133" t="s">
        <v>87</v>
      </c>
      <c r="D148" s="132" t="s">
        <v>441</v>
      </c>
      <c r="E148" s="113" t="s">
        <v>2404</v>
      </c>
      <c r="F148" s="31" t="s">
        <v>2391</v>
      </c>
      <c r="G148" t="s">
        <v>2405</v>
      </c>
      <c r="H148" t="s">
        <v>2406</v>
      </c>
      <c r="I148" t="s">
        <v>533</v>
      </c>
      <c r="J148" t="s">
        <v>2234</v>
      </c>
      <c r="K148" t="s">
        <v>2407</v>
      </c>
      <c r="L148" t="s">
        <v>519</v>
      </c>
      <c r="M148" t="s">
        <v>2395</v>
      </c>
      <c r="N148" t="s">
        <v>575</v>
      </c>
      <c r="O148" t="s">
        <v>2408</v>
      </c>
      <c r="P148" t="s">
        <v>2409</v>
      </c>
      <c r="Q148" t="s">
        <v>2410</v>
      </c>
      <c r="R148" t="s">
        <v>2411</v>
      </c>
      <c r="S148" t="s">
        <v>2412</v>
      </c>
      <c r="T148" s="239" t="s">
        <v>2413</v>
      </c>
      <c r="U148" s="238" t="s">
        <v>2414</v>
      </c>
      <c r="V148" t="s">
        <v>2415</v>
      </c>
      <c r="W148" s="17">
        <v>2015</v>
      </c>
    </row>
    <row r="149" spans="1:23" x14ac:dyDescent="0.35">
      <c r="A149" s="41">
        <v>147</v>
      </c>
      <c r="B149" s="371" t="str">
        <f>+VLOOKUP(C149,'Applications List'!$B$4:$E$181,4,FALSE)</f>
        <v>Emerging Innovation</v>
      </c>
      <c r="C149" s="133" t="s">
        <v>87</v>
      </c>
      <c r="D149" s="132" t="s">
        <v>441</v>
      </c>
      <c r="E149" s="113" t="s">
        <v>2416</v>
      </c>
      <c r="F149" s="31" t="s">
        <v>2417</v>
      </c>
      <c r="G149" t="s">
        <v>2418</v>
      </c>
      <c r="H149" t="s">
        <v>2419</v>
      </c>
      <c r="I149" t="s">
        <v>2420</v>
      </c>
      <c r="J149" t="s">
        <v>2065</v>
      </c>
      <c r="K149" t="s">
        <v>2421</v>
      </c>
      <c r="L149" t="s">
        <v>2422</v>
      </c>
      <c r="M149" t="s">
        <v>574</v>
      </c>
      <c r="N149" t="s">
        <v>1343</v>
      </c>
      <c r="O149" t="s">
        <v>2423</v>
      </c>
      <c r="P149" t="s">
        <v>2424</v>
      </c>
      <c r="Q149" t="s">
        <v>2425</v>
      </c>
      <c r="R149" t="s">
        <v>2426</v>
      </c>
      <c r="S149" t="s">
        <v>2427</v>
      </c>
      <c r="T149" t="s">
        <v>2428</v>
      </c>
      <c r="U149" s="239" t="s">
        <v>2429</v>
      </c>
      <c r="V149" t="s">
        <v>2430</v>
      </c>
      <c r="W149" s="17">
        <v>2010</v>
      </c>
    </row>
    <row r="150" spans="1:23" x14ac:dyDescent="0.35">
      <c r="A150" s="41">
        <v>148</v>
      </c>
      <c r="B150" s="371" t="str">
        <f>+VLOOKUP(C150,'Applications List'!$B$4:$E$181,4,FALSE)</f>
        <v>Emerging Innovation</v>
      </c>
      <c r="C150" s="133" t="s">
        <v>87</v>
      </c>
      <c r="D150" s="132" t="s">
        <v>441</v>
      </c>
      <c r="E150" s="113" t="s">
        <v>2431</v>
      </c>
      <c r="F150" s="31" t="s">
        <v>2191</v>
      </c>
      <c r="G150" t="s">
        <v>2432</v>
      </c>
      <c r="H150" t="s">
        <v>2433</v>
      </c>
      <c r="I150" t="s">
        <v>2434</v>
      </c>
      <c r="J150" t="s">
        <v>2065</v>
      </c>
      <c r="K150" t="s">
        <v>2435</v>
      </c>
      <c r="L150" t="s">
        <v>519</v>
      </c>
      <c r="M150" t="s">
        <v>2436</v>
      </c>
      <c r="N150" t="s">
        <v>575</v>
      </c>
      <c r="O150" t="s">
        <v>2437</v>
      </c>
      <c r="P150" t="s">
        <v>2438</v>
      </c>
      <c r="Q150" t="s">
        <v>2439</v>
      </c>
      <c r="R150" t="s">
        <v>2440</v>
      </c>
      <c r="S150" t="s">
        <v>2441</v>
      </c>
      <c r="T150" s="239" t="s">
        <v>2442</v>
      </c>
      <c r="U150" s="239" t="s">
        <v>2443</v>
      </c>
      <c r="V150" t="s">
        <v>2444</v>
      </c>
      <c r="W150" s="17">
        <v>2010</v>
      </c>
    </row>
    <row r="151" spans="1:23" x14ac:dyDescent="0.35">
      <c r="A151" s="41">
        <v>149</v>
      </c>
      <c r="B151" s="371" t="str">
        <f>+VLOOKUP(C151,'Applications List'!$B$4:$E$181,4,FALSE)</f>
        <v>Emerging Innovation</v>
      </c>
      <c r="C151" s="133" t="s">
        <v>87</v>
      </c>
      <c r="D151" s="132" t="s">
        <v>441</v>
      </c>
      <c r="E151" s="113" t="s">
        <v>2445</v>
      </c>
      <c r="F151" s="31" t="s">
        <v>2446</v>
      </c>
      <c r="G151" t="s">
        <v>2445</v>
      </c>
      <c r="H151" t="s">
        <v>2447</v>
      </c>
      <c r="I151" t="s">
        <v>2448</v>
      </c>
      <c r="J151" t="s">
        <v>2068</v>
      </c>
      <c r="K151" t="s">
        <v>2449</v>
      </c>
      <c r="L151" t="s">
        <v>519</v>
      </c>
      <c r="M151" t="s">
        <v>2395</v>
      </c>
      <c r="N151" t="s">
        <v>1995</v>
      </c>
      <c r="O151" t="s">
        <v>2450</v>
      </c>
      <c r="P151" t="s">
        <v>2451</v>
      </c>
      <c r="Q151" t="s">
        <v>2452</v>
      </c>
      <c r="R151" t="s">
        <v>2453</v>
      </c>
      <c r="S151" t="s">
        <v>2454</v>
      </c>
      <c r="T151" t="s">
        <v>2455</v>
      </c>
      <c r="U151" s="239" t="s">
        <v>2456</v>
      </c>
      <c r="V151" t="s">
        <v>2457</v>
      </c>
      <c r="W151" s="17">
        <v>2018</v>
      </c>
    </row>
    <row r="152" spans="1:23" x14ac:dyDescent="0.35">
      <c r="A152" s="41">
        <v>150</v>
      </c>
      <c r="B152" s="371" t="str">
        <f>+VLOOKUP(C152,'Applications List'!$B$4:$E$181,4,FALSE)</f>
        <v>Emerging Innovation</v>
      </c>
      <c r="C152" s="133" t="s">
        <v>87</v>
      </c>
      <c r="D152" s="132" t="s">
        <v>441</v>
      </c>
      <c r="E152" s="113" t="s">
        <v>2458</v>
      </c>
      <c r="F152" s="31" t="s">
        <v>2459</v>
      </c>
      <c r="G152" t="s">
        <v>2458</v>
      </c>
      <c r="H152" t="s">
        <v>2460</v>
      </c>
      <c r="I152" t="s">
        <v>2461</v>
      </c>
      <c r="J152" t="s">
        <v>2065</v>
      </c>
      <c r="K152" t="s">
        <v>2462</v>
      </c>
      <c r="L152" t="s">
        <v>519</v>
      </c>
      <c r="M152" t="s">
        <v>2463</v>
      </c>
      <c r="N152" t="s">
        <v>1343</v>
      </c>
      <c r="O152" t="s">
        <v>2464</v>
      </c>
      <c r="P152" t="s">
        <v>2465</v>
      </c>
      <c r="Q152" t="s">
        <v>2466</v>
      </c>
      <c r="R152" t="s">
        <v>2467</v>
      </c>
      <c r="S152" t="s">
        <v>2468</v>
      </c>
      <c r="T152" s="239" t="s">
        <v>2469</v>
      </c>
      <c r="U152" s="239" t="s">
        <v>2470</v>
      </c>
      <c r="V152" t="s">
        <v>2471</v>
      </c>
      <c r="W152" s="17">
        <v>2013</v>
      </c>
    </row>
    <row r="153" spans="1:23" x14ac:dyDescent="0.35">
      <c r="A153" s="41">
        <v>151</v>
      </c>
      <c r="B153" s="371" t="str">
        <f>+VLOOKUP(C153,'Applications List'!$B$4:$E$181,4,FALSE)</f>
        <v>Emerging Innovation</v>
      </c>
      <c r="C153" s="133" t="s">
        <v>87</v>
      </c>
      <c r="D153" s="132" t="s">
        <v>441</v>
      </c>
      <c r="E153" s="113" t="s">
        <v>2472</v>
      </c>
      <c r="F153" s="31" t="s">
        <v>2473</v>
      </c>
      <c r="G153" t="s">
        <v>2474</v>
      </c>
      <c r="H153" t="s">
        <v>2475</v>
      </c>
      <c r="I153" t="s">
        <v>533</v>
      </c>
      <c r="J153" t="s">
        <v>2065</v>
      </c>
      <c r="K153" t="s">
        <v>2476</v>
      </c>
      <c r="L153" t="s">
        <v>519</v>
      </c>
      <c r="M153" t="s">
        <v>2477</v>
      </c>
      <c r="N153" t="s">
        <v>575</v>
      </c>
      <c r="O153" t="s">
        <v>2478</v>
      </c>
      <c r="P153" t="s">
        <v>2479</v>
      </c>
      <c r="Q153" t="s">
        <v>2480</v>
      </c>
      <c r="R153" t="s">
        <v>2481</v>
      </c>
      <c r="S153" t="s">
        <v>2482</v>
      </c>
      <c r="T153" s="239" t="s">
        <v>2483</v>
      </c>
      <c r="U153" s="239" t="s">
        <v>2484</v>
      </c>
      <c r="V153" t="s">
        <v>2485</v>
      </c>
      <c r="W153" s="17">
        <v>2023</v>
      </c>
    </row>
    <row r="154" spans="1:23" x14ac:dyDescent="0.35">
      <c r="A154" s="41">
        <v>152</v>
      </c>
      <c r="B154" s="371" t="str">
        <f>+VLOOKUP(C154,'Applications List'!$B$4:$E$181,4,FALSE)</f>
        <v>Emerging Innovation</v>
      </c>
      <c r="C154" s="133" t="s">
        <v>87</v>
      </c>
      <c r="D154" s="132" t="s">
        <v>441</v>
      </c>
      <c r="E154" s="113" t="s">
        <v>2486</v>
      </c>
      <c r="F154" s="31" t="s">
        <v>2487</v>
      </c>
      <c r="G154" t="s">
        <v>2488</v>
      </c>
      <c r="H154" t="s">
        <v>2489</v>
      </c>
      <c r="I154" t="s">
        <v>2490</v>
      </c>
      <c r="J154" t="s">
        <v>2065</v>
      </c>
      <c r="K154" t="s">
        <v>2491</v>
      </c>
      <c r="L154" t="s">
        <v>519</v>
      </c>
      <c r="M154" t="s">
        <v>661</v>
      </c>
      <c r="N154" t="s">
        <v>575</v>
      </c>
      <c r="O154" t="s">
        <v>2083</v>
      </c>
      <c r="P154" t="s">
        <v>2492</v>
      </c>
      <c r="Q154" t="s">
        <v>2493</v>
      </c>
      <c r="R154" t="s">
        <v>2494</v>
      </c>
      <c r="S154" t="s">
        <v>1468</v>
      </c>
      <c r="T154" t="s">
        <v>2495</v>
      </c>
      <c r="U154" s="239" t="s">
        <v>2496</v>
      </c>
      <c r="V154" t="s">
        <v>2497</v>
      </c>
      <c r="W154" s="17">
        <v>2020</v>
      </c>
    </row>
    <row r="155" spans="1:23" x14ac:dyDescent="0.35">
      <c r="A155" s="41">
        <v>153</v>
      </c>
      <c r="B155" s="371" t="str">
        <f>+VLOOKUP(C155,'Applications List'!$B$4:$E$181,4,FALSE)</f>
        <v>Emerging Innovation</v>
      </c>
      <c r="C155" s="133" t="s">
        <v>87</v>
      </c>
      <c r="D155" s="132" t="s">
        <v>441</v>
      </c>
      <c r="E155" s="113" t="s">
        <v>2498</v>
      </c>
      <c r="F155" s="31" t="s">
        <v>2499</v>
      </c>
      <c r="G155" t="s">
        <v>2500</v>
      </c>
      <c r="H155" t="s">
        <v>2501</v>
      </c>
      <c r="I155" t="s">
        <v>678</v>
      </c>
      <c r="J155" t="s">
        <v>2065</v>
      </c>
      <c r="K155" t="s">
        <v>2502</v>
      </c>
      <c r="L155" t="s">
        <v>519</v>
      </c>
      <c r="M155" t="s">
        <v>1685</v>
      </c>
      <c r="N155" t="s">
        <v>1995</v>
      </c>
      <c r="O155" t="s">
        <v>2503</v>
      </c>
      <c r="P155" t="s">
        <v>2504</v>
      </c>
      <c r="Q155" t="s">
        <v>2505</v>
      </c>
      <c r="R155" t="s">
        <v>2506</v>
      </c>
      <c r="S155" t="s">
        <v>2507</v>
      </c>
      <c r="T155" s="239" t="s">
        <v>2508</v>
      </c>
      <c r="U155" s="239" t="s">
        <v>2509</v>
      </c>
      <c r="V155" t="s">
        <v>2510</v>
      </c>
      <c r="W155" s="17">
        <v>2018</v>
      </c>
    </row>
    <row r="156" spans="1:23" x14ac:dyDescent="0.35">
      <c r="A156" s="41">
        <v>154</v>
      </c>
      <c r="B156" s="371" t="str">
        <f>+VLOOKUP(C156,'Applications List'!$B$4:$E$181,4,FALSE)</f>
        <v>Emerging Innovation</v>
      </c>
      <c r="C156" s="133" t="s">
        <v>87</v>
      </c>
      <c r="D156" s="132" t="s">
        <v>441</v>
      </c>
      <c r="E156" s="113" t="s">
        <v>2511</v>
      </c>
      <c r="F156" s="31" t="s">
        <v>2512</v>
      </c>
      <c r="G156" t="s">
        <v>2513</v>
      </c>
      <c r="H156" t="s">
        <v>2514</v>
      </c>
      <c r="I156" t="s">
        <v>2515</v>
      </c>
      <c r="J156" t="s">
        <v>2065</v>
      </c>
      <c r="K156" t="s">
        <v>2516</v>
      </c>
      <c r="L156" t="s">
        <v>519</v>
      </c>
      <c r="M156" t="s">
        <v>574</v>
      </c>
      <c r="N156" t="s">
        <v>575</v>
      </c>
      <c r="O156" t="s">
        <v>2517</v>
      </c>
      <c r="P156" t="s">
        <v>2518</v>
      </c>
      <c r="Q156" t="s">
        <v>2519</v>
      </c>
      <c r="R156" t="s">
        <v>2520</v>
      </c>
      <c r="S156" t="s">
        <v>2521</v>
      </c>
      <c r="T156" s="239" t="s">
        <v>2522</v>
      </c>
      <c r="U156" s="239" t="s">
        <v>2523</v>
      </c>
      <c r="V156" t="s">
        <v>2524</v>
      </c>
      <c r="W156" s="17">
        <v>2016</v>
      </c>
    </row>
    <row r="157" spans="1:23" x14ac:dyDescent="0.35">
      <c r="A157" s="41">
        <v>155</v>
      </c>
      <c r="B157" s="371" t="str">
        <f>+VLOOKUP(C157,'Applications List'!$B$4:$E$181,4,FALSE)</f>
        <v>Emerging Innovation</v>
      </c>
      <c r="C157" s="133" t="s">
        <v>87</v>
      </c>
      <c r="D157" s="132" t="s">
        <v>444</v>
      </c>
      <c r="E157" s="113" t="s">
        <v>2525</v>
      </c>
      <c r="F157" s="31" t="s">
        <v>2033</v>
      </c>
      <c r="G157" t="s">
        <v>2526</v>
      </c>
      <c r="H157" t="s">
        <v>2527</v>
      </c>
      <c r="I157" t="s">
        <v>1257</v>
      </c>
      <c r="J157" t="s">
        <v>2065</v>
      </c>
      <c r="K157" t="s">
        <v>2528</v>
      </c>
      <c r="L157" t="s">
        <v>519</v>
      </c>
      <c r="M157" t="s">
        <v>2529</v>
      </c>
      <c r="N157" t="s">
        <v>575</v>
      </c>
      <c r="O157" t="s">
        <v>2530</v>
      </c>
      <c r="P157" t="s">
        <v>2531</v>
      </c>
      <c r="Q157" t="s">
        <v>2532</v>
      </c>
      <c r="R157" t="s">
        <v>2533</v>
      </c>
      <c r="S157" t="s">
        <v>2534</v>
      </c>
      <c r="T157" s="238" t="s">
        <v>2535</v>
      </c>
      <c r="U157" s="238" t="s">
        <v>2536</v>
      </c>
      <c r="V157" t="s">
        <v>2537</v>
      </c>
      <c r="W157" s="17">
        <v>2021</v>
      </c>
    </row>
    <row r="158" spans="1:23" x14ac:dyDescent="0.35">
      <c r="A158" s="41">
        <v>156</v>
      </c>
      <c r="B158" s="371" t="str">
        <f>+VLOOKUP(C158,'Applications List'!$B$4:$E$181,4,FALSE)</f>
        <v>Emerging Innovation</v>
      </c>
      <c r="C158" s="133" t="s">
        <v>87</v>
      </c>
      <c r="D158" s="132" t="s">
        <v>444</v>
      </c>
      <c r="E158" s="113" t="s">
        <v>2538</v>
      </c>
      <c r="F158" s="31" t="s">
        <v>2539</v>
      </c>
      <c r="G158" t="s">
        <v>2540</v>
      </c>
      <c r="H158" t="s">
        <v>2541</v>
      </c>
      <c r="I158" t="s">
        <v>2542</v>
      </c>
      <c r="J158" t="s">
        <v>2065</v>
      </c>
      <c r="K158" t="s">
        <v>2543</v>
      </c>
      <c r="L158" t="s">
        <v>519</v>
      </c>
      <c r="M158" t="s">
        <v>661</v>
      </c>
      <c r="N158" t="s">
        <v>1995</v>
      </c>
      <c r="O158" t="s">
        <v>2544</v>
      </c>
      <c r="P158" t="s">
        <v>2545</v>
      </c>
      <c r="Q158" t="s">
        <v>2546</v>
      </c>
      <c r="R158" t="s">
        <v>2547</v>
      </c>
      <c r="S158" t="s">
        <v>2548</v>
      </c>
      <c r="T158" s="239" t="s">
        <v>2549</v>
      </c>
      <c r="U158" s="239" t="s">
        <v>2550</v>
      </c>
      <c r="V158" t="s">
        <v>2551</v>
      </c>
      <c r="W158" s="17">
        <v>2015</v>
      </c>
    </row>
    <row r="159" spans="1:23" x14ac:dyDescent="0.35">
      <c r="A159" s="41">
        <v>157</v>
      </c>
      <c r="B159" s="371" t="str">
        <f>+VLOOKUP(C159,'Applications List'!$B$4:$E$181,4,FALSE)</f>
        <v>Emerging Innovation</v>
      </c>
      <c r="C159" s="133" t="s">
        <v>87</v>
      </c>
      <c r="D159" s="132" t="s">
        <v>444</v>
      </c>
      <c r="E159" s="113" t="s">
        <v>2552</v>
      </c>
      <c r="F159" s="31" t="s">
        <v>2553</v>
      </c>
      <c r="G159" t="s">
        <v>2554</v>
      </c>
      <c r="H159" t="s">
        <v>2555</v>
      </c>
      <c r="I159" t="s">
        <v>533</v>
      </c>
      <c r="J159" t="s">
        <v>2234</v>
      </c>
      <c r="K159" t="s">
        <v>2556</v>
      </c>
      <c r="L159" t="s">
        <v>519</v>
      </c>
      <c r="M159" t="s">
        <v>661</v>
      </c>
      <c r="N159" t="s">
        <v>1995</v>
      </c>
      <c r="O159" t="s">
        <v>2557</v>
      </c>
      <c r="P159" t="s">
        <v>2558</v>
      </c>
      <c r="Q159" t="s">
        <v>2559</v>
      </c>
      <c r="R159" t="s">
        <v>2560</v>
      </c>
      <c r="S159" t="s">
        <v>2561</v>
      </c>
      <c r="T159" s="239" t="s">
        <v>2562</v>
      </c>
      <c r="U159" s="239" t="s">
        <v>2563</v>
      </c>
      <c r="V159" t="s">
        <v>2564</v>
      </c>
      <c r="W159" s="17">
        <v>2021</v>
      </c>
    </row>
    <row r="160" spans="1:23" x14ac:dyDescent="0.35">
      <c r="A160" s="41">
        <v>158</v>
      </c>
      <c r="B160" s="371" t="str">
        <f>+VLOOKUP(C160,'Applications List'!$B$4:$E$181,4,FALSE)</f>
        <v>Emerging Innovation</v>
      </c>
      <c r="C160" s="133" t="s">
        <v>87</v>
      </c>
      <c r="D160" s="132" t="s">
        <v>444</v>
      </c>
      <c r="E160" s="113" t="s">
        <v>2565</v>
      </c>
      <c r="F160" s="31" t="s">
        <v>2566</v>
      </c>
      <c r="G160" t="s">
        <v>2567</v>
      </c>
      <c r="H160" t="s">
        <v>2568</v>
      </c>
      <c r="I160" t="s">
        <v>533</v>
      </c>
      <c r="J160" t="s">
        <v>2065</v>
      </c>
      <c r="K160" t="s">
        <v>2569</v>
      </c>
      <c r="L160" t="s">
        <v>519</v>
      </c>
      <c r="M160" t="s">
        <v>574</v>
      </c>
      <c r="N160" t="s">
        <v>575</v>
      </c>
      <c r="O160" t="s">
        <v>2570</v>
      </c>
      <c r="P160" t="s">
        <v>2571</v>
      </c>
      <c r="Q160" t="s">
        <v>2572</v>
      </c>
      <c r="R160" t="s">
        <v>2573</v>
      </c>
      <c r="S160" t="s">
        <v>2574</v>
      </c>
      <c r="T160" s="239" t="s">
        <v>2575</v>
      </c>
      <c r="U160" s="239" t="s">
        <v>2576</v>
      </c>
      <c r="V160" t="s">
        <v>2577</v>
      </c>
      <c r="W160" s="17">
        <v>2018</v>
      </c>
    </row>
    <row r="161" spans="1:23" x14ac:dyDescent="0.35">
      <c r="A161" s="41">
        <v>159</v>
      </c>
      <c r="B161" s="371" t="str">
        <f>+VLOOKUP(C161,'Applications List'!$B$4:$E$181,4,FALSE)</f>
        <v>Emerging Innovation</v>
      </c>
      <c r="C161" s="133" t="s">
        <v>87</v>
      </c>
      <c r="D161" s="132" t="s">
        <v>444</v>
      </c>
      <c r="E161" s="113" t="s">
        <v>2578</v>
      </c>
      <c r="F161" s="31" t="s">
        <v>2033</v>
      </c>
      <c r="G161" t="s">
        <v>2579</v>
      </c>
      <c r="H161" t="s">
        <v>2580</v>
      </c>
      <c r="I161" t="s">
        <v>2581</v>
      </c>
      <c r="J161" t="s">
        <v>2065</v>
      </c>
      <c r="K161" t="s">
        <v>2582</v>
      </c>
      <c r="L161" t="s">
        <v>519</v>
      </c>
      <c r="M161" t="s">
        <v>2583</v>
      </c>
      <c r="N161" t="s">
        <v>1995</v>
      </c>
      <c r="O161" t="s">
        <v>575</v>
      </c>
      <c r="P161" t="s">
        <v>2584</v>
      </c>
      <c r="Q161" t="s">
        <v>2585</v>
      </c>
      <c r="R161" t="s">
        <v>2586</v>
      </c>
      <c r="S161" t="s">
        <v>2587</v>
      </c>
      <c r="T161" s="239" t="s">
        <v>2588</v>
      </c>
      <c r="U161" s="239" t="s">
        <v>2589</v>
      </c>
      <c r="V161" t="s">
        <v>2590</v>
      </c>
      <c r="W161" s="17">
        <v>2019</v>
      </c>
    </row>
    <row r="162" spans="1:23" x14ac:dyDescent="0.35">
      <c r="A162" s="41">
        <v>160</v>
      </c>
      <c r="B162" s="371" t="str">
        <f>+VLOOKUP(C162,'Applications List'!$B$4:$E$181,4,FALSE)</f>
        <v>Emerging Innovation</v>
      </c>
      <c r="C162" s="133" t="s">
        <v>87</v>
      </c>
      <c r="D162" s="132" t="s">
        <v>444</v>
      </c>
      <c r="E162" s="113" t="s">
        <v>2591</v>
      </c>
      <c r="F162" s="31" t="s">
        <v>2566</v>
      </c>
      <c r="G162" t="s">
        <v>2579</v>
      </c>
      <c r="H162" t="s">
        <v>2592</v>
      </c>
      <c r="I162" t="s">
        <v>820</v>
      </c>
      <c r="J162" t="s">
        <v>2065</v>
      </c>
      <c r="K162" t="s">
        <v>2407</v>
      </c>
      <c r="L162" t="s">
        <v>519</v>
      </c>
      <c r="M162" t="s">
        <v>574</v>
      </c>
      <c r="N162" t="s">
        <v>575</v>
      </c>
      <c r="O162" t="s">
        <v>2068</v>
      </c>
      <c r="P162" t="s">
        <v>2593</v>
      </c>
      <c r="Q162" t="s">
        <v>2594</v>
      </c>
      <c r="R162" t="s">
        <v>2595</v>
      </c>
      <c r="S162" t="s">
        <v>2596</v>
      </c>
      <c r="T162" t="s">
        <v>2597</v>
      </c>
      <c r="U162" s="238" t="s">
        <v>2598</v>
      </c>
      <c r="W162" s="17" t="s">
        <v>2599</v>
      </c>
    </row>
    <row r="163" spans="1:23" x14ac:dyDescent="0.35">
      <c r="A163" s="41">
        <v>161</v>
      </c>
      <c r="B163" s="371" t="str">
        <f>+VLOOKUP(C163,'Applications List'!$B$4:$E$181,4,FALSE)</f>
        <v>Emerging Innovation</v>
      </c>
      <c r="C163" s="133" t="s">
        <v>87</v>
      </c>
      <c r="D163" s="132" t="s">
        <v>447</v>
      </c>
      <c r="E163" s="113" t="s">
        <v>2600</v>
      </c>
      <c r="F163" s="31" t="s">
        <v>2601</v>
      </c>
      <c r="G163" t="s">
        <v>2602</v>
      </c>
      <c r="H163" t="s">
        <v>2603</v>
      </c>
      <c r="I163" t="s">
        <v>2604</v>
      </c>
      <c r="J163" t="s">
        <v>2065</v>
      </c>
      <c r="K163" t="s">
        <v>2605</v>
      </c>
      <c r="L163" t="s">
        <v>519</v>
      </c>
      <c r="M163" t="s">
        <v>2606</v>
      </c>
      <c r="N163" t="s">
        <v>575</v>
      </c>
      <c r="O163" t="s">
        <v>2607</v>
      </c>
      <c r="P163" t="s">
        <v>2608</v>
      </c>
      <c r="Q163" t="s">
        <v>2609</v>
      </c>
      <c r="R163" t="s">
        <v>2610</v>
      </c>
      <c r="S163" t="s">
        <v>2611</v>
      </c>
      <c r="T163" s="239" t="s">
        <v>2612</v>
      </c>
      <c r="U163" s="238" t="s">
        <v>2613</v>
      </c>
      <c r="W163" s="17">
        <v>2019</v>
      </c>
    </row>
    <row r="164" spans="1:23" x14ac:dyDescent="0.35">
      <c r="A164" s="41">
        <v>162</v>
      </c>
      <c r="B164" s="371" t="str">
        <f>+VLOOKUP(C164,'Applications List'!$B$4:$E$181,4,FALSE)</f>
        <v>Emerging Innovation</v>
      </c>
      <c r="C164" s="133" t="s">
        <v>87</v>
      </c>
      <c r="D164" s="132" t="s">
        <v>447</v>
      </c>
      <c r="E164" s="113" t="s">
        <v>2614</v>
      </c>
      <c r="F164" s="31" t="s">
        <v>2615</v>
      </c>
      <c r="G164" t="s">
        <v>2616</v>
      </c>
      <c r="H164" t="s">
        <v>2617</v>
      </c>
      <c r="I164" t="s">
        <v>2618</v>
      </c>
      <c r="J164" t="s">
        <v>2234</v>
      </c>
      <c r="K164" t="s">
        <v>2619</v>
      </c>
      <c r="L164" t="s">
        <v>519</v>
      </c>
      <c r="M164" t="s">
        <v>2098</v>
      </c>
      <c r="N164" t="s">
        <v>1995</v>
      </c>
      <c r="O164" t="s">
        <v>2620</v>
      </c>
      <c r="P164" t="s">
        <v>2621</v>
      </c>
      <c r="Q164" t="s">
        <v>2622</v>
      </c>
      <c r="R164" t="s">
        <v>2623</v>
      </c>
      <c r="S164" t="s">
        <v>2624</v>
      </c>
      <c r="T164" t="s">
        <v>2625</v>
      </c>
      <c r="U164" s="239" t="s">
        <v>2626</v>
      </c>
      <c r="V164" t="s">
        <v>2627</v>
      </c>
      <c r="W164" s="17">
        <v>2015</v>
      </c>
    </row>
    <row r="165" spans="1:23" x14ac:dyDescent="0.35">
      <c r="A165" s="41">
        <v>163</v>
      </c>
      <c r="B165" s="371" t="str">
        <f>+VLOOKUP(C165,'Applications List'!$B$4:$E$181,4,FALSE)</f>
        <v>Emerging Innovation</v>
      </c>
      <c r="C165" s="133" t="s">
        <v>87</v>
      </c>
      <c r="D165" s="132" t="s">
        <v>447</v>
      </c>
      <c r="E165" s="113" t="s">
        <v>2628</v>
      </c>
      <c r="F165" s="31" t="s">
        <v>2629</v>
      </c>
      <c r="G165" t="s">
        <v>2630</v>
      </c>
      <c r="H165" t="s">
        <v>2631</v>
      </c>
      <c r="I165" t="s">
        <v>2632</v>
      </c>
      <c r="J165" t="s">
        <v>2065</v>
      </c>
      <c r="K165" t="s">
        <v>2633</v>
      </c>
      <c r="L165" t="s">
        <v>519</v>
      </c>
      <c r="M165" t="s">
        <v>2395</v>
      </c>
      <c r="N165" t="s">
        <v>575</v>
      </c>
      <c r="O165" t="s">
        <v>2634</v>
      </c>
      <c r="P165" t="s">
        <v>2635</v>
      </c>
      <c r="Q165" t="s">
        <v>2636</v>
      </c>
      <c r="R165" t="s">
        <v>2637</v>
      </c>
      <c r="S165" t="s">
        <v>2638</v>
      </c>
      <c r="T165" t="s">
        <v>2639</v>
      </c>
      <c r="U165" s="239" t="s">
        <v>2640</v>
      </c>
      <c r="W165" s="17">
        <v>2009</v>
      </c>
    </row>
    <row r="166" spans="1:23" x14ac:dyDescent="0.35">
      <c r="A166" s="41">
        <v>164</v>
      </c>
      <c r="B166" s="371" t="str">
        <f>+VLOOKUP(C166,'Applications List'!$B$4:$E$181,4,FALSE)</f>
        <v>Emerging Innovation</v>
      </c>
      <c r="C166" s="133" t="s">
        <v>87</v>
      </c>
      <c r="D166" s="132" t="s">
        <v>447</v>
      </c>
      <c r="E166" s="113" t="s">
        <v>2641</v>
      </c>
      <c r="F166" s="31" t="s">
        <v>2033</v>
      </c>
      <c r="G166" t="s">
        <v>2642</v>
      </c>
      <c r="H166" t="s">
        <v>2643</v>
      </c>
      <c r="I166" t="s">
        <v>678</v>
      </c>
      <c r="J166" t="s">
        <v>2065</v>
      </c>
      <c r="K166" t="s">
        <v>2644</v>
      </c>
      <c r="L166" t="s">
        <v>519</v>
      </c>
      <c r="M166" t="s">
        <v>661</v>
      </c>
      <c r="N166" t="s">
        <v>1995</v>
      </c>
      <c r="O166" t="s">
        <v>2645</v>
      </c>
      <c r="P166" t="s">
        <v>2646</v>
      </c>
      <c r="Q166" t="s">
        <v>2647</v>
      </c>
      <c r="R166" t="s">
        <v>2648</v>
      </c>
      <c r="S166" t="s">
        <v>2649</v>
      </c>
      <c r="T166" s="239" t="s">
        <v>2650</v>
      </c>
      <c r="U166" s="238" t="s">
        <v>2651</v>
      </c>
      <c r="V166" t="s">
        <v>2652</v>
      </c>
      <c r="W166" s="17">
        <v>2019</v>
      </c>
    </row>
    <row r="167" spans="1:23" x14ac:dyDescent="0.35">
      <c r="A167" s="41">
        <v>165</v>
      </c>
      <c r="B167" s="371" t="str">
        <f>+VLOOKUP(C167,'Applications List'!$B$4:$E$181,4,FALSE)</f>
        <v>Emerging Innovation</v>
      </c>
      <c r="C167" s="133" t="s">
        <v>87</v>
      </c>
      <c r="D167" s="132" t="s">
        <v>447</v>
      </c>
      <c r="E167" s="113" t="s">
        <v>2653</v>
      </c>
      <c r="F167" s="31" t="s">
        <v>2654</v>
      </c>
      <c r="G167" t="s">
        <v>2655</v>
      </c>
      <c r="H167" t="s">
        <v>2656</v>
      </c>
      <c r="I167" t="s">
        <v>2657</v>
      </c>
      <c r="J167" t="s">
        <v>2065</v>
      </c>
      <c r="K167" t="s">
        <v>2658</v>
      </c>
      <c r="L167" t="s">
        <v>519</v>
      </c>
      <c r="M167" t="s">
        <v>2659</v>
      </c>
      <c r="N167" t="s">
        <v>1995</v>
      </c>
      <c r="O167" t="s">
        <v>2660</v>
      </c>
      <c r="P167" t="s">
        <v>2661</v>
      </c>
      <c r="Q167" t="s">
        <v>2662</v>
      </c>
      <c r="R167" t="s">
        <v>2663</v>
      </c>
      <c r="S167" t="s">
        <v>2664</v>
      </c>
      <c r="T167" s="239" t="s">
        <v>2665</v>
      </c>
      <c r="U167" s="239" t="s">
        <v>2666</v>
      </c>
      <c r="W167" s="17">
        <v>2001</v>
      </c>
    </row>
    <row r="168" spans="1:23" x14ac:dyDescent="0.35">
      <c r="A168" s="41">
        <v>166</v>
      </c>
      <c r="B168" s="371" t="str">
        <f>+VLOOKUP(C168,'Applications List'!$B$4:$E$181,4,FALSE)</f>
        <v>Emerging Innovation</v>
      </c>
      <c r="C168" s="133" t="s">
        <v>87</v>
      </c>
      <c r="D168" s="132" t="s">
        <v>447</v>
      </c>
      <c r="E168" s="113" t="s">
        <v>2667</v>
      </c>
      <c r="F168" s="31" t="s">
        <v>2668</v>
      </c>
      <c r="G168" t="s">
        <v>2669</v>
      </c>
      <c r="H168" t="s">
        <v>2670</v>
      </c>
      <c r="I168" t="s">
        <v>1257</v>
      </c>
      <c r="J168" t="s">
        <v>575</v>
      </c>
      <c r="K168" t="s">
        <v>2671</v>
      </c>
      <c r="L168" t="s">
        <v>519</v>
      </c>
      <c r="M168" t="s">
        <v>2672</v>
      </c>
      <c r="N168" t="s">
        <v>575</v>
      </c>
      <c r="O168" t="s">
        <v>1913</v>
      </c>
      <c r="P168" t="s">
        <v>2673</v>
      </c>
      <c r="Q168" t="s">
        <v>2674</v>
      </c>
      <c r="R168" t="s">
        <v>2675</v>
      </c>
      <c r="S168" t="s">
        <v>2676</v>
      </c>
      <c r="T168" s="239" t="s">
        <v>2677</v>
      </c>
      <c r="U168" s="239" t="s">
        <v>2678</v>
      </c>
      <c r="W168" s="17">
        <v>2015</v>
      </c>
    </row>
    <row r="169" spans="1:23" x14ac:dyDescent="0.35">
      <c r="A169" s="41">
        <v>167</v>
      </c>
      <c r="B169" s="371" t="str">
        <f>+VLOOKUP(C169,'Applications List'!$B$4:$E$181,4,FALSE)</f>
        <v>Emerging Innovation</v>
      </c>
      <c r="C169" s="133" t="s">
        <v>87</v>
      </c>
      <c r="D169" s="132" t="s">
        <v>447</v>
      </c>
      <c r="E169" s="113" t="s">
        <v>2679</v>
      </c>
      <c r="F169" s="31" t="s">
        <v>2680</v>
      </c>
      <c r="G169" t="s">
        <v>2681</v>
      </c>
      <c r="H169" t="s">
        <v>2682</v>
      </c>
      <c r="I169" t="s">
        <v>516</v>
      </c>
      <c r="J169" t="s">
        <v>2065</v>
      </c>
      <c r="K169" t="s">
        <v>2683</v>
      </c>
      <c r="L169" t="s">
        <v>519</v>
      </c>
      <c r="M169" t="s">
        <v>661</v>
      </c>
      <c r="N169" t="s">
        <v>575</v>
      </c>
      <c r="O169" t="s">
        <v>2684</v>
      </c>
      <c r="P169" t="s">
        <v>2685</v>
      </c>
      <c r="Q169" t="s">
        <v>2686</v>
      </c>
      <c r="R169" t="s">
        <v>2687</v>
      </c>
      <c r="S169" t="s">
        <v>2688</v>
      </c>
      <c r="T169" s="239" t="s">
        <v>2689</v>
      </c>
      <c r="U169" s="239" t="s">
        <v>2690</v>
      </c>
      <c r="W169" s="17">
        <v>2011</v>
      </c>
    </row>
    <row r="170" spans="1:23" x14ac:dyDescent="0.35">
      <c r="A170" s="41">
        <v>168</v>
      </c>
      <c r="B170" s="371" t="str">
        <f>+VLOOKUP(C170,'Applications List'!$B$4:$E$181,4,FALSE)</f>
        <v>Emerging Innovation</v>
      </c>
      <c r="C170" s="133" t="s">
        <v>87</v>
      </c>
      <c r="D170" s="132" t="s">
        <v>447</v>
      </c>
      <c r="E170" s="113" t="s">
        <v>2691</v>
      </c>
      <c r="F170" s="31" t="s">
        <v>2692</v>
      </c>
      <c r="G170" t="s">
        <v>2693</v>
      </c>
      <c r="H170" t="s">
        <v>2694</v>
      </c>
      <c r="I170" t="s">
        <v>533</v>
      </c>
      <c r="J170" t="s">
        <v>575</v>
      </c>
      <c r="K170" t="s">
        <v>2695</v>
      </c>
      <c r="L170" t="s">
        <v>519</v>
      </c>
      <c r="M170" t="s">
        <v>661</v>
      </c>
      <c r="N170" t="s">
        <v>575</v>
      </c>
      <c r="O170" t="s">
        <v>1650</v>
      </c>
      <c r="P170" t="s">
        <v>2696</v>
      </c>
      <c r="Q170" t="s">
        <v>2697</v>
      </c>
      <c r="R170" t="s">
        <v>2698</v>
      </c>
      <c r="S170" t="s">
        <v>2699</v>
      </c>
      <c r="T170" s="239" t="s">
        <v>2700</v>
      </c>
      <c r="U170" s="238" t="s">
        <v>2701</v>
      </c>
      <c r="W170" s="17">
        <v>2017</v>
      </c>
    </row>
    <row r="171" spans="1:23" ht="17.5" x14ac:dyDescent="0.45">
      <c r="A171" s="41">
        <v>169</v>
      </c>
      <c r="B171" s="371" t="str">
        <f>+VLOOKUP(C171,'Applications List'!$B$4:$E$181,4,FALSE)</f>
        <v>Emerging Innovation</v>
      </c>
      <c r="C171" s="133" t="s">
        <v>87</v>
      </c>
      <c r="D171" s="132" t="s">
        <v>447</v>
      </c>
      <c r="E171" s="113" t="s">
        <v>2702</v>
      </c>
      <c r="F171" s="143" t="s">
        <v>2703</v>
      </c>
      <c r="G171" t="s">
        <v>2704</v>
      </c>
      <c r="H171" t="s">
        <v>2705</v>
      </c>
      <c r="I171" t="s">
        <v>2301</v>
      </c>
      <c r="J171" t="s">
        <v>2065</v>
      </c>
      <c r="K171" t="s">
        <v>2706</v>
      </c>
      <c r="L171" t="s">
        <v>519</v>
      </c>
      <c r="M171" t="s">
        <v>2707</v>
      </c>
      <c r="N171" t="s">
        <v>1995</v>
      </c>
      <c r="O171" t="s">
        <v>1776</v>
      </c>
      <c r="P171" t="s">
        <v>2708</v>
      </c>
      <c r="Q171" t="s">
        <v>2709</v>
      </c>
      <c r="R171" t="s">
        <v>2710</v>
      </c>
      <c r="S171" t="s">
        <v>2711</v>
      </c>
      <c r="T171" s="239" t="s">
        <v>2712</v>
      </c>
      <c r="U171" s="238" t="s">
        <v>2713</v>
      </c>
      <c r="W171" s="17">
        <v>2017</v>
      </c>
    </row>
    <row r="172" spans="1:23" ht="17.5" x14ac:dyDescent="0.45">
      <c r="A172" s="41">
        <v>170</v>
      </c>
      <c r="B172" s="371" t="str">
        <f>+VLOOKUP(C172,'Applications List'!$B$4:$E$181,4,FALSE)</f>
        <v>Emerging Innovation</v>
      </c>
      <c r="C172" s="133" t="s">
        <v>87</v>
      </c>
      <c r="D172" s="132" t="s">
        <v>447</v>
      </c>
      <c r="E172" s="113" t="s">
        <v>2714</v>
      </c>
      <c r="F172" s="143" t="s">
        <v>2715</v>
      </c>
      <c r="G172" t="s">
        <v>2716</v>
      </c>
      <c r="H172" t="s">
        <v>2717</v>
      </c>
      <c r="I172" t="s">
        <v>2718</v>
      </c>
      <c r="J172" t="s">
        <v>575</v>
      </c>
      <c r="K172" t="s">
        <v>2719</v>
      </c>
      <c r="L172" t="s">
        <v>519</v>
      </c>
      <c r="M172" t="s">
        <v>2182</v>
      </c>
      <c r="N172" t="s">
        <v>1343</v>
      </c>
      <c r="O172" t="s">
        <v>2720</v>
      </c>
      <c r="P172" t="s">
        <v>2721</v>
      </c>
      <c r="Q172" t="s">
        <v>2722</v>
      </c>
      <c r="R172" t="s">
        <v>2723</v>
      </c>
      <c r="S172" t="s">
        <v>2724</v>
      </c>
      <c r="T172" t="s">
        <v>2725</v>
      </c>
      <c r="U172" s="239" t="s">
        <v>2726</v>
      </c>
      <c r="V172" t="s">
        <v>2727</v>
      </c>
      <c r="W172" s="17">
        <v>2019</v>
      </c>
    </row>
    <row r="173" spans="1:23" ht="17.5" x14ac:dyDescent="0.45">
      <c r="A173" s="41">
        <v>171</v>
      </c>
      <c r="B173" s="371" t="str">
        <f>+VLOOKUP(C173,'Applications List'!$B$4:$E$181,4,FALSE)</f>
        <v>Emerging Innovation</v>
      </c>
      <c r="C173" s="133" t="s">
        <v>87</v>
      </c>
      <c r="D173" s="132" t="s">
        <v>447</v>
      </c>
      <c r="E173" s="113" t="s">
        <v>2728</v>
      </c>
      <c r="F173" s="143" t="s">
        <v>2729</v>
      </c>
      <c r="G173" t="s">
        <v>2730</v>
      </c>
      <c r="H173" t="s">
        <v>2731</v>
      </c>
      <c r="I173" t="s">
        <v>533</v>
      </c>
      <c r="J173" t="s">
        <v>2053</v>
      </c>
      <c r="K173" t="s">
        <v>2732</v>
      </c>
      <c r="L173" t="s">
        <v>519</v>
      </c>
      <c r="M173" t="s">
        <v>2182</v>
      </c>
      <c r="N173" t="s">
        <v>1343</v>
      </c>
      <c r="O173" t="s">
        <v>2083</v>
      </c>
      <c r="P173" t="s">
        <v>2733</v>
      </c>
      <c r="Q173" t="s">
        <v>2734</v>
      </c>
      <c r="R173" t="s">
        <v>2735</v>
      </c>
      <c r="S173" t="s">
        <v>2736</v>
      </c>
      <c r="T173" t="s">
        <v>2737</v>
      </c>
      <c r="U173" s="238" t="s">
        <v>2738</v>
      </c>
      <c r="W173" s="17">
        <v>2021</v>
      </c>
    </row>
    <row r="174" spans="1:23" x14ac:dyDescent="0.35">
      <c r="A174" s="41">
        <v>172</v>
      </c>
      <c r="B174" s="371" t="str">
        <f>+VLOOKUP(C174,'Applications List'!$B$4:$E$181,4,FALSE)</f>
        <v>Emerging Innovation</v>
      </c>
      <c r="C174" s="133" t="s">
        <v>87</v>
      </c>
      <c r="D174" s="132" t="s">
        <v>447</v>
      </c>
      <c r="E174" s="113" t="s">
        <v>2739</v>
      </c>
      <c r="F174" s="31" t="s">
        <v>2740</v>
      </c>
      <c r="G174" t="s">
        <v>2741</v>
      </c>
      <c r="H174" t="s">
        <v>2742</v>
      </c>
      <c r="I174" t="s">
        <v>2743</v>
      </c>
      <c r="J174" t="s">
        <v>2065</v>
      </c>
      <c r="K174" t="s">
        <v>2744</v>
      </c>
      <c r="L174" t="s">
        <v>519</v>
      </c>
      <c r="M174" t="s">
        <v>2672</v>
      </c>
      <c r="N174" t="s">
        <v>1995</v>
      </c>
      <c r="O174" t="s">
        <v>2745</v>
      </c>
      <c r="P174" t="s">
        <v>2746</v>
      </c>
      <c r="Q174" t="s">
        <v>2747</v>
      </c>
      <c r="R174" t="s">
        <v>2748</v>
      </c>
      <c r="S174" t="s">
        <v>2749</v>
      </c>
      <c r="T174" t="s">
        <v>2750</v>
      </c>
      <c r="U174" s="239" t="s">
        <v>2751</v>
      </c>
      <c r="W174" s="17">
        <v>2008</v>
      </c>
    </row>
    <row r="175" spans="1:23" x14ac:dyDescent="0.35">
      <c r="A175" s="41">
        <v>173</v>
      </c>
      <c r="B175" s="371" t="str">
        <f>+VLOOKUP(C175,'Applications List'!$B$4:$E$181,4,FALSE)</f>
        <v>Emerging Innovation</v>
      </c>
      <c r="C175" s="133" t="s">
        <v>87</v>
      </c>
      <c r="D175" s="132" t="s">
        <v>453</v>
      </c>
      <c r="E175" s="113" t="s">
        <v>2752</v>
      </c>
      <c r="F175" s="31" t="s">
        <v>2753</v>
      </c>
      <c r="G175" t="s">
        <v>2754</v>
      </c>
      <c r="H175" t="s">
        <v>2755</v>
      </c>
      <c r="I175" t="s">
        <v>2756</v>
      </c>
      <c r="J175" t="s">
        <v>2065</v>
      </c>
      <c r="K175" t="s">
        <v>2757</v>
      </c>
      <c r="L175" t="s">
        <v>519</v>
      </c>
      <c r="M175" t="s">
        <v>1685</v>
      </c>
      <c r="N175" t="s">
        <v>575</v>
      </c>
      <c r="O175" t="s">
        <v>2068</v>
      </c>
      <c r="P175" t="s">
        <v>2758</v>
      </c>
      <c r="Q175" t="s">
        <v>2759</v>
      </c>
      <c r="R175" t="s">
        <v>2760</v>
      </c>
      <c r="S175" t="s">
        <v>2761</v>
      </c>
      <c r="T175" t="s">
        <v>2762</v>
      </c>
      <c r="U175" s="239" t="s">
        <v>2763</v>
      </c>
      <c r="W175" s="17">
        <v>2019</v>
      </c>
    </row>
    <row r="176" spans="1:23" x14ac:dyDescent="0.35">
      <c r="A176" s="41">
        <v>174</v>
      </c>
      <c r="B176" s="371" t="str">
        <f>+VLOOKUP(C176,'Applications List'!$B$4:$E$181,4,FALSE)</f>
        <v>Emerging Innovation</v>
      </c>
      <c r="C176" s="133" t="s">
        <v>87</v>
      </c>
      <c r="D176" s="132" t="s">
        <v>453</v>
      </c>
      <c r="E176" s="113" t="s">
        <v>2764</v>
      </c>
      <c r="F176" s="31" t="s">
        <v>2765</v>
      </c>
      <c r="G176" t="s">
        <v>2766</v>
      </c>
      <c r="H176" t="s">
        <v>2767</v>
      </c>
      <c r="I176" t="s">
        <v>2768</v>
      </c>
      <c r="J176" t="s">
        <v>2065</v>
      </c>
      <c r="K176" t="s">
        <v>2769</v>
      </c>
      <c r="L176" t="s">
        <v>2770</v>
      </c>
      <c r="M176" t="s">
        <v>2182</v>
      </c>
      <c r="N176" t="s">
        <v>1343</v>
      </c>
      <c r="O176" t="s">
        <v>2771</v>
      </c>
      <c r="P176" t="s">
        <v>2772</v>
      </c>
      <c r="Q176" t="s">
        <v>2773</v>
      </c>
      <c r="R176" t="s">
        <v>2774</v>
      </c>
      <c r="S176" t="s">
        <v>2775</v>
      </c>
      <c r="T176" s="239" t="s">
        <v>2776</v>
      </c>
      <c r="U176" s="239" t="s">
        <v>2777</v>
      </c>
      <c r="W176" s="17">
        <v>2012</v>
      </c>
    </row>
    <row r="177" spans="1:23" x14ac:dyDescent="0.35">
      <c r="A177" s="41">
        <v>175</v>
      </c>
      <c r="B177" s="371" t="str">
        <f>+VLOOKUP(C177,'Applications List'!$B$4:$E$181,4,FALSE)</f>
        <v>Emerging Innovation</v>
      </c>
      <c r="C177" s="133" t="s">
        <v>87</v>
      </c>
      <c r="D177" s="132" t="s">
        <v>453</v>
      </c>
      <c r="E177" s="113" t="s">
        <v>2778</v>
      </c>
      <c r="F177" s="31" t="s">
        <v>2779</v>
      </c>
      <c r="G177" t="s">
        <v>2780</v>
      </c>
      <c r="H177" t="s">
        <v>2781</v>
      </c>
      <c r="I177" t="s">
        <v>2782</v>
      </c>
      <c r="J177" t="s">
        <v>2065</v>
      </c>
      <c r="K177" t="s">
        <v>2757</v>
      </c>
      <c r="L177" t="s">
        <v>519</v>
      </c>
      <c r="M177" t="s">
        <v>2182</v>
      </c>
      <c r="N177" t="s">
        <v>1343</v>
      </c>
      <c r="O177" t="s">
        <v>2771</v>
      </c>
      <c r="P177" t="s">
        <v>2783</v>
      </c>
      <c r="Q177" t="s">
        <v>2784</v>
      </c>
      <c r="R177" t="s">
        <v>2785</v>
      </c>
      <c r="S177" t="s">
        <v>2786</v>
      </c>
      <c r="T177" s="239" t="s">
        <v>2787</v>
      </c>
      <c r="U177" s="239" t="s">
        <v>2788</v>
      </c>
      <c r="W177" s="17">
        <v>2015</v>
      </c>
    </row>
    <row r="178" spans="1:23" x14ac:dyDescent="0.35">
      <c r="A178" s="41">
        <v>176</v>
      </c>
      <c r="B178" s="371" t="str">
        <f>+VLOOKUP(C178,'Applications List'!$B$4:$E$181,4,FALSE)</f>
        <v>Emerging Innovation</v>
      </c>
      <c r="C178" s="133" t="s">
        <v>87</v>
      </c>
      <c r="D178" s="132" t="s">
        <v>453</v>
      </c>
      <c r="E178" s="113" t="s">
        <v>2789</v>
      </c>
      <c r="F178" s="31" t="s">
        <v>2790</v>
      </c>
      <c r="G178" t="s">
        <v>2791</v>
      </c>
      <c r="H178" t="s">
        <v>2792</v>
      </c>
      <c r="I178" t="s">
        <v>2793</v>
      </c>
      <c r="J178" t="s">
        <v>2794</v>
      </c>
      <c r="K178" t="s">
        <v>2407</v>
      </c>
      <c r="L178" t="s">
        <v>519</v>
      </c>
      <c r="M178" t="s">
        <v>574</v>
      </c>
      <c r="N178" t="s">
        <v>575</v>
      </c>
      <c r="O178" t="s">
        <v>2068</v>
      </c>
      <c r="P178" t="s">
        <v>2795</v>
      </c>
      <c r="Q178" t="s">
        <v>2796</v>
      </c>
      <c r="R178" t="s">
        <v>2797</v>
      </c>
      <c r="S178" t="s">
        <v>2798</v>
      </c>
      <c r="T178" t="s">
        <v>2799</v>
      </c>
      <c r="U178" s="239" t="s">
        <v>2800</v>
      </c>
      <c r="W178" s="17">
        <v>2016</v>
      </c>
    </row>
    <row r="179" spans="1:23" x14ac:dyDescent="0.35">
      <c r="A179" s="41">
        <v>177</v>
      </c>
      <c r="B179" s="371" t="str">
        <f>+VLOOKUP(C179,'Applications List'!$B$4:$E$181,4,FALSE)</f>
        <v>Emerging Innovation</v>
      </c>
      <c r="C179" s="133" t="s">
        <v>87</v>
      </c>
      <c r="D179" s="132" t="s">
        <v>453</v>
      </c>
      <c r="E179" s="113" t="s">
        <v>2801</v>
      </c>
      <c r="F179" s="31" t="s">
        <v>2802</v>
      </c>
      <c r="G179" t="s">
        <v>2803</v>
      </c>
      <c r="H179" t="s">
        <v>2804</v>
      </c>
      <c r="I179" t="s">
        <v>2805</v>
      </c>
      <c r="J179" t="s">
        <v>2806</v>
      </c>
      <c r="K179" t="s">
        <v>2407</v>
      </c>
      <c r="L179" t="s">
        <v>519</v>
      </c>
      <c r="M179" t="s">
        <v>2182</v>
      </c>
      <c r="N179" t="s">
        <v>575</v>
      </c>
      <c r="O179" t="s">
        <v>2807</v>
      </c>
      <c r="P179" t="s">
        <v>2808</v>
      </c>
      <c r="Q179" t="s">
        <v>2809</v>
      </c>
      <c r="R179" t="s">
        <v>2810</v>
      </c>
      <c r="S179" t="s">
        <v>2811</v>
      </c>
      <c r="T179" s="227" t="s">
        <v>2812</v>
      </c>
      <c r="U179" s="239" t="s">
        <v>2813</v>
      </c>
      <c r="W179" s="17">
        <v>2016</v>
      </c>
    </row>
    <row r="180" spans="1:23" x14ac:dyDescent="0.35">
      <c r="A180" s="41">
        <v>178</v>
      </c>
      <c r="B180" s="371" t="str">
        <f>+VLOOKUP(C180,'Applications List'!$B$4:$E$181,4,FALSE)</f>
        <v>Emerging Innovation</v>
      </c>
      <c r="C180" s="133" t="s">
        <v>87</v>
      </c>
      <c r="D180" s="132" t="s">
        <v>453</v>
      </c>
      <c r="E180" s="113" t="s">
        <v>2814</v>
      </c>
      <c r="F180" s="31" t="s">
        <v>2815</v>
      </c>
      <c r="G180" t="s">
        <v>2816</v>
      </c>
      <c r="H180" t="s">
        <v>2817</v>
      </c>
      <c r="I180" t="s">
        <v>1257</v>
      </c>
      <c r="J180" t="s">
        <v>2065</v>
      </c>
      <c r="K180" t="s">
        <v>2818</v>
      </c>
      <c r="L180" t="s">
        <v>519</v>
      </c>
      <c r="M180" t="s">
        <v>574</v>
      </c>
      <c r="N180" t="s">
        <v>575</v>
      </c>
      <c r="O180" t="s">
        <v>2068</v>
      </c>
      <c r="P180" t="s">
        <v>2819</v>
      </c>
      <c r="Q180" t="s">
        <v>2820</v>
      </c>
      <c r="R180" t="s">
        <v>2821</v>
      </c>
      <c r="S180" t="s">
        <v>2822</v>
      </c>
      <c r="T180" s="239" t="s">
        <v>2823</v>
      </c>
      <c r="U180" s="239" t="s">
        <v>2824</v>
      </c>
      <c r="W180" s="17">
        <v>2017</v>
      </c>
    </row>
    <row r="181" spans="1:23" x14ac:dyDescent="0.35">
      <c r="A181" s="41">
        <v>179</v>
      </c>
      <c r="B181" s="371" t="str">
        <f>+VLOOKUP(C181,'Applications List'!$B$4:$E$181,4,FALSE)</f>
        <v>Finance</v>
      </c>
      <c r="C181" s="133" t="s">
        <v>93</v>
      </c>
      <c r="D181" s="132" t="s">
        <v>474</v>
      </c>
      <c r="E181" s="113" t="s">
        <v>2825</v>
      </c>
      <c r="F181" s="31" t="s">
        <v>2826</v>
      </c>
      <c r="G181" t="s">
        <v>2827</v>
      </c>
      <c r="H181" t="s">
        <v>2828</v>
      </c>
      <c r="I181" t="s">
        <v>2829</v>
      </c>
      <c r="J181" t="s">
        <v>2065</v>
      </c>
      <c r="K181" t="s">
        <v>2830</v>
      </c>
      <c r="L181" t="s">
        <v>519</v>
      </c>
      <c r="M181" t="s">
        <v>1685</v>
      </c>
      <c r="N181" t="s">
        <v>575</v>
      </c>
      <c r="O181" t="s">
        <v>2831</v>
      </c>
      <c r="P181" t="s">
        <v>2832</v>
      </c>
      <c r="Q181" t="s">
        <v>2833</v>
      </c>
      <c r="R181" t="s">
        <v>2834</v>
      </c>
      <c r="S181" t="s">
        <v>2835</v>
      </c>
      <c r="T181" s="239" t="s">
        <v>2836</v>
      </c>
      <c r="U181" s="239" t="s">
        <v>2837</v>
      </c>
      <c r="W181" s="17">
        <v>2010</v>
      </c>
    </row>
    <row r="182" spans="1:23" x14ac:dyDescent="0.35">
      <c r="A182" s="41">
        <v>180</v>
      </c>
      <c r="B182" s="371" t="str">
        <f>+VLOOKUP(C182,'Applications List'!$B$4:$E$181,4,FALSE)</f>
        <v>Finance</v>
      </c>
      <c r="C182" s="133" t="s">
        <v>93</v>
      </c>
      <c r="D182" s="132" t="s">
        <v>474</v>
      </c>
      <c r="E182" s="113" t="s">
        <v>2838</v>
      </c>
      <c r="F182" s="31" t="s">
        <v>2839</v>
      </c>
      <c r="G182" t="s">
        <v>2840</v>
      </c>
      <c r="H182" t="s">
        <v>2841</v>
      </c>
      <c r="I182" t="s">
        <v>2842</v>
      </c>
      <c r="J182" t="s">
        <v>575</v>
      </c>
      <c r="K182" t="s">
        <v>2843</v>
      </c>
      <c r="L182" t="s">
        <v>519</v>
      </c>
      <c r="M182" t="s">
        <v>2182</v>
      </c>
      <c r="N182" t="s">
        <v>1343</v>
      </c>
      <c r="O182" t="s">
        <v>2083</v>
      </c>
      <c r="P182" t="s">
        <v>2844</v>
      </c>
      <c r="Q182" t="s">
        <v>2845</v>
      </c>
      <c r="R182" t="s">
        <v>2846</v>
      </c>
      <c r="S182" t="s">
        <v>2736</v>
      </c>
      <c r="T182" t="s">
        <v>2847</v>
      </c>
      <c r="U182" s="239" t="s">
        <v>2848</v>
      </c>
      <c r="W182" s="17">
        <v>2024</v>
      </c>
    </row>
    <row r="183" spans="1:23" x14ac:dyDescent="0.35">
      <c r="A183" s="41">
        <v>181</v>
      </c>
      <c r="B183" s="371" t="str">
        <f>+VLOOKUP(C183,'Applications List'!$B$4:$E$181,4,FALSE)</f>
        <v>Finance</v>
      </c>
      <c r="C183" s="133" t="s">
        <v>93</v>
      </c>
      <c r="D183" s="132" t="s">
        <v>474</v>
      </c>
      <c r="E183" s="113" t="s">
        <v>2849</v>
      </c>
      <c r="F183" s="31" t="s">
        <v>2850</v>
      </c>
      <c r="G183" t="s">
        <v>2851</v>
      </c>
      <c r="H183" t="s">
        <v>2852</v>
      </c>
      <c r="I183" t="s">
        <v>2853</v>
      </c>
      <c r="J183" t="s">
        <v>2065</v>
      </c>
      <c r="K183" t="s">
        <v>2854</v>
      </c>
      <c r="L183" t="s">
        <v>519</v>
      </c>
      <c r="M183" t="s">
        <v>2182</v>
      </c>
      <c r="N183" t="s">
        <v>1343</v>
      </c>
      <c r="O183" t="s">
        <v>1776</v>
      </c>
      <c r="P183" t="s">
        <v>2855</v>
      </c>
      <c r="Q183" t="s">
        <v>2856</v>
      </c>
      <c r="R183" t="s">
        <v>2857</v>
      </c>
      <c r="S183" t="s">
        <v>2858</v>
      </c>
      <c r="T183" s="238" t="s">
        <v>2859</v>
      </c>
      <c r="U183" s="239" t="s">
        <v>2860</v>
      </c>
      <c r="W183" s="17">
        <v>2022</v>
      </c>
    </row>
    <row r="184" spans="1:23" x14ac:dyDescent="0.35">
      <c r="A184" s="41">
        <v>182</v>
      </c>
      <c r="B184" s="371" t="str">
        <f>+VLOOKUP(C184,'Applications List'!$B$4:$E$181,4,FALSE)</f>
        <v>Finance</v>
      </c>
      <c r="C184" s="133" t="s">
        <v>93</v>
      </c>
      <c r="D184" s="132" t="s">
        <v>474</v>
      </c>
      <c r="E184" s="113" t="s">
        <v>2861</v>
      </c>
      <c r="F184" s="31" t="s">
        <v>2862</v>
      </c>
      <c r="G184" t="s">
        <v>2861</v>
      </c>
      <c r="H184" t="s">
        <v>2863</v>
      </c>
      <c r="I184" t="s">
        <v>2864</v>
      </c>
      <c r="J184" t="s">
        <v>2065</v>
      </c>
      <c r="K184" t="s">
        <v>2865</v>
      </c>
      <c r="L184" t="s">
        <v>519</v>
      </c>
      <c r="M184" t="s">
        <v>2395</v>
      </c>
      <c r="N184" t="s">
        <v>575</v>
      </c>
      <c r="O184" t="s">
        <v>2866</v>
      </c>
      <c r="P184" t="s">
        <v>2867</v>
      </c>
      <c r="Q184" t="s">
        <v>2868</v>
      </c>
      <c r="R184" t="s">
        <v>2869</v>
      </c>
      <c r="S184" t="s">
        <v>2870</v>
      </c>
      <c r="T184" s="239" t="s">
        <v>2871</v>
      </c>
      <c r="U184" s="239" t="s">
        <v>2872</v>
      </c>
      <c r="W184" s="17">
        <v>2013</v>
      </c>
    </row>
    <row r="185" spans="1:23" x14ac:dyDescent="0.35">
      <c r="A185" s="41">
        <v>183</v>
      </c>
      <c r="B185" s="371" t="str">
        <f>+VLOOKUP(C185,'Applications List'!$B$4:$E$181,4,FALSE)</f>
        <v>Finance</v>
      </c>
      <c r="C185" s="133" t="s">
        <v>93</v>
      </c>
      <c r="D185" s="132" t="s">
        <v>474</v>
      </c>
      <c r="E185" s="113" t="s">
        <v>2873</v>
      </c>
      <c r="F185" s="31" t="s">
        <v>2874</v>
      </c>
      <c r="G185" t="s">
        <v>2875</v>
      </c>
      <c r="H185" t="s">
        <v>2876</v>
      </c>
      <c r="I185" t="s">
        <v>2877</v>
      </c>
      <c r="J185" t="s">
        <v>2065</v>
      </c>
      <c r="K185" t="s">
        <v>2878</v>
      </c>
      <c r="L185" t="s">
        <v>519</v>
      </c>
      <c r="M185" t="s">
        <v>2672</v>
      </c>
      <c r="N185" t="s">
        <v>1995</v>
      </c>
      <c r="O185" t="s">
        <v>2879</v>
      </c>
      <c r="P185" t="s">
        <v>2880</v>
      </c>
      <c r="Q185" t="s">
        <v>2881</v>
      </c>
      <c r="R185" t="s">
        <v>2882</v>
      </c>
      <c r="S185" t="s">
        <v>2883</v>
      </c>
      <c r="T185" s="239" t="s">
        <v>2884</v>
      </c>
      <c r="U185" s="239" t="s">
        <v>2885</v>
      </c>
      <c r="W185" s="17">
        <v>2011</v>
      </c>
    </row>
    <row r="186" spans="1:23" x14ac:dyDescent="0.35">
      <c r="A186" s="41">
        <v>184</v>
      </c>
      <c r="B186" s="371" t="str">
        <f>+VLOOKUP(C186,'Applications List'!$B$4:$E$181,4,FALSE)</f>
        <v>Finance</v>
      </c>
      <c r="C186" s="133" t="s">
        <v>93</v>
      </c>
      <c r="D186" s="132" t="s">
        <v>474</v>
      </c>
      <c r="E186" s="113" t="s">
        <v>2886</v>
      </c>
      <c r="F186" s="31" t="s">
        <v>2887</v>
      </c>
      <c r="G186" t="s">
        <v>2888</v>
      </c>
      <c r="H186" t="s">
        <v>2889</v>
      </c>
      <c r="I186" t="s">
        <v>2890</v>
      </c>
      <c r="J186" t="s">
        <v>2891</v>
      </c>
      <c r="K186" t="s">
        <v>2878</v>
      </c>
      <c r="L186" t="s">
        <v>2892</v>
      </c>
      <c r="M186" t="s">
        <v>2893</v>
      </c>
      <c r="N186" t="s">
        <v>1995</v>
      </c>
      <c r="O186" t="s">
        <v>2894</v>
      </c>
      <c r="P186" t="s">
        <v>2895</v>
      </c>
      <c r="Q186" t="s">
        <v>2896</v>
      </c>
      <c r="R186" t="s">
        <v>2897</v>
      </c>
      <c r="S186" t="s">
        <v>2898</v>
      </c>
      <c r="T186" s="227" t="s">
        <v>2899</v>
      </c>
      <c r="U186" s="238" t="s">
        <v>2900</v>
      </c>
      <c r="W186" s="17">
        <v>2011</v>
      </c>
    </row>
    <row r="187" spans="1:23" x14ac:dyDescent="0.35">
      <c r="A187" s="41">
        <v>185</v>
      </c>
      <c r="B187" s="371" t="str">
        <f>+VLOOKUP(C187,'Applications List'!$B$4:$E$181,4,FALSE)</f>
        <v>Finance</v>
      </c>
      <c r="C187" s="133" t="s">
        <v>93</v>
      </c>
      <c r="D187" s="132" t="s">
        <v>474</v>
      </c>
      <c r="E187" s="113" t="s">
        <v>2901</v>
      </c>
      <c r="F187" s="31" t="s">
        <v>2902</v>
      </c>
      <c r="G187" t="s">
        <v>2903</v>
      </c>
      <c r="H187" t="s">
        <v>2904</v>
      </c>
      <c r="I187" t="s">
        <v>1511</v>
      </c>
      <c r="J187" t="s">
        <v>2065</v>
      </c>
      <c r="K187" t="s">
        <v>2905</v>
      </c>
      <c r="L187" t="s">
        <v>519</v>
      </c>
      <c r="M187" t="s">
        <v>1685</v>
      </c>
      <c r="N187" t="s">
        <v>1995</v>
      </c>
      <c r="O187" t="s">
        <v>2906</v>
      </c>
      <c r="P187" t="s">
        <v>2907</v>
      </c>
      <c r="Q187" t="s">
        <v>2908</v>
      </c>
      <c r="R187" t="s">
        <v>2909</v>
      </c>
      <c r="S187" t="s">
        <v>2910</v>
      </c>
      <c r="T187" s="238" t="s">
        <v>2911</v>
      </c>
      <c r="U187" s="239" t="s">
        <v>2912</v>
      </c>
      <c r="V187" t="s">
        <v>2913</v>
      </c>
      <c r="W187" s="17">
        <v>2019</v>
      </c>
    </row>
    <row r="188" spans="1:23" x14ac:dyDescent="0.35">
      <c r="A188" s="41">
        <v>186</v>
      </c>
      <c r="B188" s="371" t="str">
        <f>+VLOOKUP(C188,'Applications List'!$B$4:$E$181,4,FALSE)</f>
        <v>Finance</v>
      </c>
      <c r="C188" s="133" t="s">
        <v>93</v>
      </c>
      <c r="D188" s="132" t="s">
        <v>474</v>
      </c>
      <c r="E188" s="113" t="s">
        <v>2914</v>
      </c>
      <c r="F188" s="31" t="s">
        <v>2915</v>
      </c>
      <c r="G188" t="s">
        <v>2916</v>
      </c>
      <c r="H188" t="s">
        <v>2917</v>
      </c>
      <c r="I188" t="s">
        <v>2918</v>
      </c>
      <c r="J188" t="s">
        <v>575</v>
      </c>
      <c r="K188" t="s">
        <v>2919</v>
      </c>
      <c r="L188" t="s">
        <v>519</v>
      </c>
      <c r="M188" t="s">
        <v>2182</v>
      </c>
      <c r="N188" t="s">
        <v>575</v>
      </c>
      <c r="O188" t="s">
        <v>2920</v>
      </c>
      <c r="P188" t="s">
        <v>2921</v>
      </c>
      <c r="Q188" t="s">
        <v>2922</v>
      </c>
      <c r="R188" t="s">
        <v>2923</v>
      </c>
      <c r="S188" t="s">
        <v>2924</v>
      </c>
      <c r="T188" s="239" t="s">
        <v>2925</v>
      </c>
      <c r="U188" s="239" t="s">
        <v>2926</v>
      </c>
      <c r="V188" t="s">
        <v>2927</v>
      </c>
      <c r="W188" s="17">
        <v>2014</v>
      </c>
    </row>
    <row r="189" spans="1:23" ht="29" x14ac:dyDescent="0.35">
      <c r="A189" s="41">
        <v>187</v>
      </c>
      <c r="B189" s="371" t="str">
        <f>+VLOOKUP(C189,'Applications List'!$B$4:$E$181,4,FALSE)</f>
        <v>Operations</v>
      </c>
      <c r="C189" s="133" t="s">
        <v>48</v>
      </c>
      <c r="D189" s="132" t="s">
        <v>140</v>
      </c>
      <c r="E189" s="113" t="s">
        <v>2928</v>
      </c>
      <c r="F189" s="31" t="s">
        <v>2929</v>
      </c>
      <c r="H189" t="s">
        <v>2930</v>
      </c>
      <c r="I189" t="s">
        <v>2931</v>
      </c>
      <c r="J189" t="s">
        <v>2065</v>
      </c>
      <c r="K189" t="s">
        <v>2932</v>
      </c>
      <c r="L189" t="s">
        <v>519</v>
      </c>
      <c r="M189" t="s">
        <v>2933</v>
      </c>
      <c r="N189" t="s">
        <v>575</v>
      </c>
      <c r="O189" t="s">
        <v>2934</v>
      </c>
      <c r="P189" t="s">
        <v>2935</v>
      </c>
      <c r="Q189" t="s">
        <v>2936</v>
      </c>
      <c r="R189" t="s">
        <v>2937</v>
      </c>
      <c r="S189" t="s">
        <v>2938</v>
      </c>
      <c r="T189" s="240" t="s">
        <v>2939</v>
      </c>
      <c r="U189" s="240" t="s">
        <v>2940</v>
      </c>
      <c r="W189" s="17">
        <v>2019</v>
      </c>
    </row>
    <row r="190" spans="1:23" ht="29" x14ac:dyDescent="0.35">
      <c r="A190" s="41">
        <v>188</v>
      </c>
      <c r="B190" s="371" t="str">
        <f>+VLOOKUP(C190,'Applications List'!$B$4:$E$181,4,FALSE)</f>
        <v>Operations</v>
      </c>
      <c r="C190" s="133" t="s">
        <v>48</v>
      </c>
      <c r="D190" s="132" t="s">
        <v>140</v>
      </c>
      <c r="E190" s="113" t="s">
        <v>2941</v>
      </c>
      <c r="F190" s="31" t="s">
        <v>2942</v>
      </c>
      <c r="H190" t="s">
        <v>2943</v>
      </c>
      <c r="I190" t="s">
        <v>2944</v>
      </c>
      <c r="J190" t="s">
        <v>2065</v>
      </c>
      <c r="K190" t="s">
        <v>2945</v>
      </c>
      <c r="L190" t="s">
        <v>519</v>
      </c>
      <c r="M190" t="s">
        <v>563</v>
      </c>
      <c r="N190" t="s">
        <v>2946</v>
      </c>
      <c r="O190" t="s">
        <v>2947</v>
      </c>
      <c r="P190" t="s">
        <v>2948</v>
      </c>
      <c r="Q190" t="s">
        <v>2949</v>
      </c>
      <c r="R190" t="s">
        <v>2950</v>
      </c>
      <c r="S190" t="s">
        <v>2951</v>
      </c>
      <c r="T190" s="240" t="s">
        <v>2952</v>
      </c>
      <c r="U190" s="240" t="s">
        <v>2953</v>
      </c>
      <c r="W190" s="17">
        <v>2018</v>
      </c>
    </row>
    <row r="191" spans="1:23" x14ac:dyDescent="0.35">
      <c r="A191" s="41">
        <v>189</v>
      </c>
      <c r="B191" s="371" t="str">
        <f>+VLOOKUP(C191,'Applications List'!$B$4:$E$181,4,FALSE)</f>
        <v>Emerging Innovation</v>
      </c>
      <c r="C191" s="133" t="s">
        <v>87</v>
      </c>
      <c r="D191" s="132" t="s">
        <v>438</v>
      </c>
      <c r="E191" s="113" t="s">
        <v>2954</v>
      </c>
      <c r="F191" s="31" t="s">
        <v>2929</v>
      </c>
      <c r="H191" t="s">
        <v>2955</v>
      </c>
      <c r="I191" t="s">
        <v>2956</v>
      </c>
      <c r="J191" t="s">
        <v>2065</v>
      </c>
      <c r="K191" t="s">
        <v>2957</v>
      </c>
      <c r="L191" t="s">
        <v>519</v>
      </c>
      <c r="M191" t="s">
        <v>563</v>
      </c>
      <c r="N191" t="s">
        <v>2958</v>
      </c>
      <c r="O191" t="s">
        <v>2959</v>
      </c>
      <c r="P191" t="s">
        <v>2960</v>
      </c>
      <c r="Q191" t="s">
        <v>2961</v>
      </c>
      <c r="R191" t="s">
        <v>2962</v>
      </c>
      <c r="S191" t="s">
        <v>2963</v>
      </c>
      <c r="T191" s="240" t="s">
        <v>2964</v>
      </c>
      <c r="U191" s="240" t="s">
        <v>2965</v>
      </c>
      <c r="W191" s="17">
        <v>2019</v>
      </c>
    </row>
    <row r="192" spans="1:23" ht="29" x14ac:dyDescent="0.35">
      <c r="A192" s="41">
        <v>190</v>
      </c>
      <c r="B192" s="371" t="str">
        <f>+VLOOKUP(C192,'Applications List'!$B$4:$E$181,4,FALSE)</f>
        <v>Operations</v>
      </c>
      <c r="C192" s="133" t="s">
        <v>48</v>
      </c>
      <c r="D192" s="132" t="s">
        <v>123</v>
      </c>
      <c r="E192" s="113" t="s">
        <v>2966</v>
      </c>
      <c r="F192" s="31" t="s">
        <v>2967</v>
      </c>
      <c r="H192" t="s">
        <v>2968</v>
      </c>
      <c r="I192" t="s">
        <v>2969</v>
      </c>
      <c r="J192" t="s">
        <v>2065</v>
      </c>
      <c r="K192" t="s">
        <v>2970</v>
      </c>
      <c r="L192" t="s">
        <v>519</v>
      </c>
      <c r="M192" t="s">
        <v>1685</v>
      </c>
      <c r="N192" t="s">
        <v>575</v>
      </c>
      <c r="O192" t="s">
        <v>2971</v>
      </c>
      <c r="P192" t="s">
        <v>2972</v>
      </c>
      <c r="Q192" t="s">
        <v>2973</v>
      </c>
      <c r="R192" t="s">
        <v>2974</v>
      </c>
      <c r="S192" t="s">
        <v>2975</v>
      </c>
      <c r="T192" s="240" t="s">
        <v>2976</v>
      </c>
      <c r="U192" s="240" t="s">
        <v>2977</v>
      </c>
      <c r="W192" s="17">
        <v>2020</v>
      </c>
    </row>
    <row r="193" spans="1:23" ht="29" x14ac:dyDescent="0.35">
      <c r="A193" s="41">
        <v>191</v>
      </c>
      <c r="B193" s="371" t="str">
        <f>+VLOOKUP(C193,'Applications List'!$B$4:$E$181,4,FALSE)</f>
        <v>Technology</v>
      </c>
      <c r="C193" s="159" t="s">
        <v>63</v>
      </c>
      <c r="D193" s="158" t="s">
        <v>225</v>
      </c>
      <c r="E193" s="113" t="s">
        <v>2978</v>
      </c>
      <c r="F193" s="31" t="s">
        <v>2979</v>
      </c>
      <c r="G193" t="s">
        <v>2980</v>
      </c>
      <c r="H193" t="s">
        <v>2981</v>
      </c>
      <c r="I193" t="s">
        <v>533</v>
      </c>
      <c r="J193" t="s">
        <v>534</v>
      </c>
      <c r="K193" t="s">
        <v>2982</v>
      </c>
      <c r="L193" t="s">
        <v>519</v>
      </c>
      <c r="M193" t="s">
        <v>574</v>
      </c>
      <c r="N193" t="s">
        <v>2983</v>
      </c>
      <c r="O193" t="s">
        <v>2984</v>
      </c>
      <c r="P193" t="s">
        <v>2985</v>
      </c>
      <c r="Q193" t="s">
        <v>2986</v>
      </c>
      <c r="R193" t="s">
        <v>2987</v>
      </c>
      <c r="S193" t="s">
        <v>2988</v>
      </c>
      <c r="T193" s="239" t="s">
        <v>2989</v>
      </c>
      <c r="U193" s="239" t="s">
        <v>2990</v>
      </c>
      <c r="V193" t="s">
        <v>2991</v>
      </c>
      <c r="W193" s="17">
        <v>2020</v>
      </c>
    </row>
    <row r="194" spans="1:23" ht="29" x14ac:dyDescent="0.35">
      <c r="A194" s="41">
        <v>192</v>
      </c>
      <c r="B194" s="371" t="str">
        <f>+VLOOKUP(C194,'Applications List'!$B$4:$E$181,4,FALSE)</f>
        <v>Technology</v>
      </c>
      <c r="C194" s="159" t="s">
        <v>63</v>
      </c>
      <c r="D194" s="158" t="s">
        <v>225</v>
      </c>
      <c r="E194" s="113" t="s">
        <v>2992</v>
      </c>
      <c r="F194" s="31" t="s">
        <v>2993</v>
      </c>
      <c r="G194" t="s">
        <v>2994</v>
      </c>
      <c r="H194" t="s">
        <v>2995</v>
      </c>
      <c r="I194" t="s">
        <v>533</v>
      </c>
      <c r="J194" t="s">
        <v>534</v>
      </c>
      <c r="K194" t="s">
        <v>2996</v>
      </c>
      <c r="L194" t="s">
        <v>519</v>
      </c>
      <c r="M194" t="s">
        <v>661</v>
      </c>
      <c r="N194" t="s">
        <v>2997</v>
      </c>
      <c r="O194" t="s">
        <v>2998</v>
      </c>
      <c r="P194" t="s">
        <v>2999</v>
      </c>
      <c r="Q194" t="s">
        <v>3000</v>
      </c>
      <c r="R194" t="s">
        <v>3001</v>
      </c>
      <c r="S194" t="s">
        <v>3002</v>
      </c>
      <c r="T194" s="239" t="s">
        <v>3003</v>
      </c>
      <c r="U194" s="239" t="s">
        <v>3004</v>
      </c>
      <c r="V194" t="s">
        <v>3005</v>
      </c>
      <c r="W194" s="17">
        <v>2015</v>
      </c>
    </row>
    <row r="195" spans="1:23" ht="29" x14ac:dyDescent="0.35">
      <c r="A195" s="41">
        <v>193</v>
      </c>
      <c r="B195" s="371" t="str">
        <f>+VLOOKUP(C195,'Applications List'!$B$4:$E$181,4,FALSE)</f>
        <v>Technology</v>
      </c>
      <c r="C195" s="159" t="s">
        <v>63</v>
      </c>
      <c r="D195" s="158" t="s">
        <v>225</v>
      </c>
      <c r="E195" s="113" t="s">
        <v>3006</v>
      </c>
      <c r="F195" s="31" t="s">
        <v>3007</v>
      </c>
      <c r="G195" t="s">
        <v>3008</v>
      </c>
      <c r="H195" t="s">
        <v>3009</v>
      </c>
      <c r="I195" t="s">
        <v>3010</v>
      </c>
      <c r="J195" t="s">
        <v>534</v>
      </c>
      <c r="K195" t="s">
        <v>3011</v>
      </c>
      <c r="L195" t="s">
        <v>519</v>
      </c>
      <c r="M195" t="s">
        <v>574</v>
      </c>
      <c r="N195" t="s">
        <v>3012</v>
      </c>
      <c r="O195" t="s">
        <v>3013</v>
      </c>
      <c r="P195" t="s">
        <v>3014</v>
      </c>
      <c r="Q195" t="s">
        <v>3015</v>
      </c>
      <c r="R195" t="s">
        <v>3016</v>
      </c>
      <c r="S195" t="s">
        <v>3017</v>
      </c>
      <c r="T195" s="239" t="s">
        <v>3018</v>
      </c>
      <c r="U195" s="239" t="s">
        <v>3019</v>
      </c>
      <c r="W195" s="17">
        <v>2000</v>
      </c>
    </row>
    <row r="196" spans="1:23" ht="29" x14ac:dyDescent="0.35">
      <c r="A196" s="41">
        <v>194</v>
      </c>
      <c r="B196" s="371" t="str">
        <f>+VLOOKUP(C196,'Applications List'!$B$4:$E$181,4,FALSE)</f>
        <v>Technology</v>
      </c>
      <c r="C196" s="159" t="s">
        <v>63</v>
      </c>
      <c r="D196" s="158" t="s">
        <v>225</v>
      </c>
      <c r="E196" s="113" t="s">
        <v>3020</v>
      </c>
      <c r="F196" s="31" t="s">
        <v>3021</v>
      </c>
      <c r="G196" t="s">
        <v>3022</v>
      </c>
      <c r="H196" t="s">
        <v>3023</v>
      </c>
      <c r="I196" t="s">
        <v>3024</v>
      </c>
      <c r="J196" t="s">
        <v>534</v>
      </c>
      <c r="K196" t="s">
        <v>3025</v>
      </c>
      <c r="L196" t="s">
        <v>3026</v>
      </c>
      <c r="M196" t="s">
        <v>3027</v>
      </c>
      <c r="N196" t="s">
        <v>3028</v>
      </c>
      <c r="O196" t="s">
        <v>3029</v>
      </c>
      <c r="P196" t="s">
        <v>3030</v>
      </c>
      <c r="Q196" t="s">
        <v>3031</v>
      </c>
      <c r="R196" t="s">
        <v>3032</v>
      </c>
      <c r="S196" t="s">
        <v>3033</v>
      </c>
      <c r="T196" t="s">
        <v>3034</v>
      </c>
      <c r="U196" s="239" t="s">
        <v>3035</v>
      </c>
      <c r="V196" t="s">
        <v>3026</v>
      </c>
      <c r="W196" s="17">
        <v>2022</v>
      </c>
    </row>
    <row r="197" spans="1:23" ht="29" x14ac:dyDescent="0.35">
      <c r="A197" s="41">
        <v>195</v>
      </c>
      <c r="B197" s="371" t="str">
        <f>+VLOOKUP(C197,'Applications List'!$B$4:$E$181,4,FALSE)</f>
        <v>Technology</v>
      </c>
      <c r="C197" s="159" t="s">
        <v>63</v>
      </c>
      <c r="D197" s="158" t="s">
        <v>225</v>
      </c>
      <c r="E197" s="113" t="s">
        <v>3036</v>
      </c>
      <c r="F197" s="31" t="s">
        <v>3037</v>
      </c>
      <c r="G197" t="s">
        <v>3038</v>
      </c>
      <c r="H197" t="s">
        <v>3039</v>
      </c>
      <c r="I197" t="s">
        <v>3040</v>
      </c>
      <c r="J197" t="s">
        <v>3041</v>
      </c>
      <c r="K197" t="s">
        <v>3042</v>
      </c>
      <c r="L197" t="s">
        <v>3043</v>
      </c>
      <c r="M197" t="s">
        <v>574</v>
      </c>
      <c r="N197" t="s">
        <v>3044</v>
      </c>
      <c r="O197" t="s">
        <v>3045</v>
      </c>
      <c r="P197" t="s">
        <v>3046</v>
      </c>
      <c r="Q197" t="s">
        <v>3047</v>
      </c>
      <c r="R197" t="s">
        <v>3048</v>
      </c>
      <c r="S197" t="s">
        <v>3049</v>
      </c>
      <c r="T197" s="239" t="s">
        <v>3050</v>
      </c>
      <c r="U197" s="239" t="s">
        <v>3051</v>
      </c>
      <c r="V197" t="s">
        <v>3052</v>
      </c>
      <c r="W197" s="17">
        <v>2020</v>
      </c>
    </row>
    <row r="198" spans="1:23" ht="29" x14ac:dyDescent="0.35">
      <c r="A198" s="41">
        <v>196</v>
      </c>
      <c r="B198" s="371" t="str">
        <f>+VLOOKUP(C198,'Applications List'!$B$4:$E$181,4,FALSE)</f>
        <v>Technology</v>
      </c>
      <c r="C198" s="159" t="s">
        <v>63</v>
      </c>
      <c r="D198" s="158" t="s">
        <v>225</v>
      </c>
      <c r="E198" s="113" t="s">
        <v>3053</v>
      </c>
      <c r="F198" s="31" t="s">
        <v>3054</v>
      </c>
      <c r="G198" t="s">
        <v>3053</v>
      </c>
      <c r="H198" t="s">
        <v>3055</v>
      </c>
      <c r="I198" t="s">
        <v>3056</v>
      </c>
      <c r="J198" t="s">
        <v>3057</v>
      </c>
      <c r="K198" t="s">
        <v>3058</v>
      </c>
      <c r="L198" t="s">
        <v>519</v>
      </c>
      <c r="M198" t="s">
        <v>2395</v>
      </c>
      <c r="N198" t="s">
        <v>575</v>
      </c>
      <c r="O198" t="s">
        <v>3059</v>
      </c>
      <c r="P198" t="s">
        <v>3060</v>
      </c>
      <c r="Q198" t="s">
        <v>3061</v>
      </c>
      <c r="R198" t="s">
        <v>3062</v>
      </c>
      <c r="S198" t="s">
        <v>3063</v>
      </c>
      <c r="T198" t="s">
        <v>3064</v>
      </c>
      <c r="U198" s="239" t="s">
        <v>3065</v>
      </c>
      <c r="V198" t="s">
        <v>3066</v>
      </c>
      <c r="W198" s="17">
        <v>2018</v>
      </c>
    </row>
    <row r="199" spans="1:23" ht="29" x14ac:dyDescent="0.35">
      <c r="A199" s="41">
        <v>197</v>
      </c>
      <c r="B199" s="371" t="str">
        <f>+VLOOKUP(C199,'Applications List'!$B$4:$E$181,4,FALSE)</f>
        <v>Access &amp; Equity</v>
      </c>
      <c r="C199" s="159" t="s">
        <v>84</v>
      </c>
      <c r="D199" s="158" t="s">
        <v>417</v>
      </c>
      <c r="E199" s="113" t="s">
        <v>3067</v>
      </c>
      <c r="F199" s="31" t="s">
        <v>830</v>
      </c>
      <c r="G199" t="s">
        <v>3068</v>
      </c>
      <c r="H199" t="s">
        <v>3069</v>
      </c>
      <c r="I199" t="s">
        <v>3070</v>
      </c>
      <c r="J199" t="s">
        <v>3071</v>
      </c>
      <c r="K199" t="s">
        <v>2757</v>
      </c>
      <c r="L199" t="s">
        <v>519</v>
      </c>
      <c r="M199" t="s">
        <v>574</v>
      </c>
      <c r="N199" t="s">
        <v>1213</v>
      </c>
      <c r="O199" t="s">
        <v>3072</v>
      </c>
      <c r="P199" t="s">
        <v>3073</v>
      </c>
      <c r="Q199" t="s">
        <v>3074</v>
      </c>
      <c r="R199" t="s">
        <v>3075</v>
      </c>
      <c r="S199" t="s">
        <v>3076</v>
      </c>
      <c r="T199" s="239" t="s">
        <v>3077</v>
      </c>
      <c r="U199" s="239" t="s">
        <v>3078</v>
      </c>
      <c r="V199" t="s">
        <v>3079</v>
      </c>
      <c r="W199" s="17">
        <v>2022</v>
      </c>
    </row>
    <row r="200" spans="1:23" ht="29" x14ac:dyDescent="0.35">
      <c r="A200" s="41">
        <v>198</v>
      </c>
      <c r="B200" s="371" t="str">
        <f>+VLOOKUP(C200,'Applications List'!$B$4:$E$181,4,FALSE)</f>
        <v>Access &amp; Equity</v>
      </c>
      <c r="C200" s="159" t="s">
        <v>84</v>
      </c>
      <c r="D200" s="158" t="s">
        <v>417</v>
      </c>
      <c r="E200" s="113" t="s">
        <v>3080</v>
      </c>
      <c r="F200" s="31" t="s">
        <v>2191</v>
      </c>
      <c r="G200" t="s">
        <v>3081</v>
      </c>
      <c r="H200" t="s">
        <v>3082</v>
      </c>
      <c r="I200" t="s">
        <v>3083</v>
      </c>
      <c r="J200" t="s">
        <v>3084</v>
      </c>
      <c r="K200" t="s">
        <v>3085</v>
      </c>
      <c r="L200" t="s">
        <v>519</v>
      </c>
      <c r="M200" t="s">
        <v>1685</v>
      </c>
      <c r="N200" t="s">
        <v>3086</v>
      </c>
      <c r="O200" t="s">
        <v>3087</v>
      </c>
      <c r="P200" t="s">
        <v>3088</v>
      </c>
      <c r="Q200" t="s">
        <v>3089</v>
      </c>
      <c r="R200" t="s">
        <v>3090</v>
      </c>
      <c r="S200" t="s">
        <v>3091</v>
      </c>
      <c r="T200" s="239" t="s">
        <v>3092</v>
      </c>
      <c r="U200" s="239" t="s">
        <v>3093</v>
      </c>
      <c r="V200" t="s">
        <v>3094</v>
      </c>
      <c r="W200" s="17">
        <v>2017</v>
      </c>
    </row>
    <row r="201" spans="1:23" ht="29" x14ac:dyDescent="0.35">
      <c r="A201" s="41">
        <v>199</v>
      </c>
      <c r="B201" s="371" t="str">
        <f>+VLOOKUP(C201,'Applications List'!$B$4:$E$181,4,FALSE)</f>
        <v>Access &amp; Equity</v>
      </c>
      <c r="C201" s="159" t="s">
        <v>84</v>
      </c>
      <c r="D201" s="158" t="s">
        <v>417</v>
      </c>
      <c r="E201" s="113" t="s">
        <v>3095</v>
      </c>
      <c r="F201" t="s">
        <v>2033</v>
      </c>
      <c r="G201" t="s">
        <v>3096</v>
      </c>
      <c r="H201" t="s">
        <v>3097</v>
      </c>
      <c r="I201" t="s">
        <v>533</v>
      </c>
      <c r="J201" t="s">
        <v>3098</v>
      </c>
      <c r="K201" t="s">
        <v>3099</v>
      </c>
      <c r="L201" t="s">
        <v>519</v>
      </c>
      <c r="M201" t="s">
        <v>1355</v>
      </c>
      <c r="N201" t="s">
        <v>3100</v>
      </c>
      <c r="O201" t="s">
        <v>3101</v>
      </c>
      <c r="P201" t="s">
        <v>3102</v>
      </c>
      <c r="Q201" t="s">
        <v>3103</v>
      </c>
      <c r="R201" t="s">
        <v>3104</v>
      </c>
      <c r="S201" t="s">
        <v>3105</v>
      </c>
      <c r="T201" s="239" t="s">
        <v>3106</v>
      </c>
      <c r="U201" s="239" t="s">
        <v>3107</v>
      </c>
      <c r="V201" t="s">
        <v>3108</v>
      </c>
      <c r="W201" s="17">
        <v>2020</v>
      </c>
    </row>
    <row r="202" spans="1:23" ht="29" x14ac:dyDescent="0.35">
      <c r="A202" s="41">
        <v>200</v>
      </c>
      <c r="B202" s="371" t="str">
        <f>+VLOOKUP(C202,'Applications List'!$B$4:$E$181,4,FALSE)</f>
        <v>Operations</v>
      </c>
      <c r="C202" s="159" t="s">
        <v>66</v>
      </c>
      <c r="D202" s="158" t="s">
        <v>255</v>
      </c>
      <c r="E202" s="113" t="s">
        <v>1891</v>
      </c>
      <c r="F202" s="141" t="s">
        <v>1892</v>
      </c>
      <c r="G202" s="127" t="s">
        <v>1893</v>
      </c>
      <c r="H202" s="127" t="s">
        <v>1894</v>
      </c>
      <c r="I202" s="127" t="s">
        <v>1895</v>
      </c>
      <c r="J202" s="127" t="s">
        <v>534</v>
      </c>
      <c r="K202" s="127" t="s">
        <v>1896</v>
      </c>
      <c r="L202" s="127" t="s">
        <v>519</v>
      </c>
      <c r="M202" s="127" t="s">
        <v>574</v>
      </c>
      <c r="N202" s="127" t="s">
        <v>575</v>
      </c>
      <c r="O202" s="127" t="s">
        <v>1897</v>
      </c>
      <c r="P202" s="127" t="s">
        <v>1898</v>
      </c>
      <c r="Q202" s="127" t="s">
        <v>1899</v>
      </c>
      <c r="R202" s="127" t="s">
        <v>1900</v>
      </c>
      <c r="S202" s="127" t="s">
        <v>1901</v>
      </c>
      <c r="T202" s="235" t="s">
        <v>1902</v>
      </c>
      <c r="U202" s="235" t="s">
        <v>1903</v>
      </c>
      <c r="V202" s="127" t="s">
        <v>1904</v>
      </c>
      <c r="W202" s="120">
        <v>2021</v>
      </c>
    </row>
    <row r="203" spans="1:23" ht="29" x14ac:dyDescent="0.35">
      <c r="A203" s="41">
        <v>201</v>
      </c>
      <c r="B203" s="371" t="str">
        <f>+VLOOKUP(C203,'Applications List'!$B$4:$E$181,4,FALSE)</f>
        <v>Operations</v>
      </c>
      <c r="C203" s="159" t="s">
        <v>66</v>
      </c>
      <c r="D203" s="158" t="s">
        <v>255</v>
      </c>
      <c r="E203" s="113" t="s">
        <v>3385</v>
      </c>
      <c r="F203" s="31" t="s">
        <v>3386</v>
      </c>
      <c r="H203" t="s">
        <v>3389</v>
      </c>
      <c r="I203" t="s">
        <v>3390</v>
      </c>
      <c r="J203" t="s">
        <v>2234</v>
      </c>
      <c r="K203" t="s">
        <v>3391</v>
      </c>
      <c r="L203" t="s">
        <v>3392</v>
      </c>
      <c r="M203" t="s">
        <v>1685</v>
      </c>
      <c r="N203" t="s">
        <v>575</v>
      </c>
      <c r="O203" t="s">
        <v>3393</v>
      </c>
      <c r="P203" t="s">
        <v>3394</v>
      </c>
      <c r="Q203" t="s">
        <v>3395</v>
      </c>
      <c r="R203" t="s">
        <v>3396</v>
      </c>
      <c r="S203" t="s">
        <v>3397</v>
      </c>
      <c r="T203" s="164" t="s">
        <v>3387</v>
      </c>
      <c r="U203" t="s">
        <v>3388</v>
      </c>
      <c r="V203" t="s">
        <v>3435</v>
      </c>
      <c r="W203" s="17">
        <v>2020</v>
      </c>
    </row>
    <row r="204" spans="1:23" ht="29" x14ac:dyDescent="0.45">
      <c r="A204" s="41">
        <v>202</v>
      </c>
      <c r="B204" s="371" t="str">
        <f>+VLOOKUP(C204,'Applications List'!$B$4:$E$181,4,FALSE)</f>
        <v>Operations</v>
      </c>
      <c r="C204" s="159" t="s">
        <v>66</v>
      </c>
      <c r="D204" s="158" t="s">
        <v>255</v>
      </c>
      <c r="E204" s="113" t="s">
        <v>3398</v>
      </c>
      <c r="F204" s="31" t="s">
        <v>2047</v>
      </c>
      <c r="G204" t="s">
        <v>3402</v>
      </c>
      <c r="H204" t="s">
        <v>3403</v>
      </c>
      <c r="I204" t="s">
        <v>3401</v>
      </c>
      <c r="J204" t="s">
        <v>3084</v>
      </c>
      <c r="K204" t="s">
        <v>3404</v>
      </c>
      <c r="L204" t="s">
        <v>519</v>
      </c>
      <c r="M204" t="s">
        <v>1685</v>
      </c>
      <c r="N204" t="s">
        <v>575</v>
      </c>
      <c r="O204" t="s">
        <v>3406</v>
      </c>
      <c r="P204" t="s">
        <v>3407</v>
      </c>
      <c r="Q204" t="s">
        <v>3408</v>
      </c>
      <c r="R204" t="s">
        <v>3409</v>
      </c>
      <c r="S204" t="s">
        <v>3410</v>
      </c>
      <c r="T204" t="s">
        <v>3400</v>
      </c>
      <c r="U204" t="s">
        <v>3399</v>
      </c>
      <c r="V204" t="s">
        <v>3436</v>
      </c>
      <c r="W204" s="17">
        <v>2021</v>
      </c>
    </row>
    <row r="205" spans="1:23" ht="29" x14ac:dyDescent="0.45">
      <c r="A205" s="41">
        <v>203</v>
      </c>
      <c r="B205" s="371" t="str">
        <f>+VLOOKUP(C205,'Applications List'!$B$4:$E$181,4,FALSE)</f>
        <v>Operations</v>
      </c>
      <c r="C205" s="159" t="s">
        <v>66</v>
      </c>
      <c r="D205" s="158" t="s">
        <v>255</v>
      </c>
      <c r="E205" s="113" t="s">
        <v>3411</v>
      </c>
      <c r="F205" s="31" t="s">
        <v>3416</v>
      </c>
      <c r="H205" t="s">
        <v>3414</v>
      </c>
      <c r="I205" t="s">
        <v>3415</v>
      </c>
      <c r="J205" t="s">
        <v>3084</v>
      </c>
      <c r="K205" t="s">
        <v>3404</v>
      </c>
      <c r="L205" t="s">
        <v>519</v>
      </c>
      <c r="M205" t="s">
        <v>1685</v>
      </c>
      <c r="N205" t="s">
        <v>575</v>
      </c>
      <c r="O205" t="s">
        <v>3406</v>
      </c>
      <c r="P205" t="s">
        <v>3417</v>
      </c>
      <c r="Q205" t="s">
        <v>3418</v>
      </c>
      <c r="R205" t="s">
        <v>3419</v>
      </c>
      <c r="S205" t="s">
        <v>3420</v>
      </c>
      <c r="T205" t="s">
        <v>3413</v>
      </c>
      <c r="U205" t="s">
        <v>3412</v>
      </c>
      <c r="V205" t="s">
        <v>3437</v>
      </c>
      <c r="W205" s="17">
        <v>2023</v>
      </c>
    </row>
    <row r="206" spans="1:23" ht="29" x14ac:dyDescent="0.45">
      <c r="A206" s="41">
        <v>204</v>
      </c>
      <c r="B206" s="371" t="str">
        <f>+VLOOKUP(C206,'Applications List'!$B$4:$E$181,4,FALSE)</f>
        <v>Operations</v>
      </c>
      <c r="C206" s="159" t="s">
        <v>66</v>
      </c>
      <c r="D206" s="158" t="s">
        <v>255</v>
      </c>
      <c r="E206" s="113" t="s">
        <v>3421</v>
      </c>
      <c r="F206" s="31" t="s">
        <v>3422</v>
      </c>
      <c r="G206" s="109"/>
      <c r="H206" s="109" t="s">
        <v>3423</v>
      </c>
      <c r="I206" s="109" t="s">
        <v>3424</v>
      </c>
      <c r="J206" s="355" t="s">
        <v>534</v>
      </c>
      <c r="K206" s="109" t="s">
        <v>3425</v>
      </c>
      <c r="L206" s="109" t="s">
        <v>3426</v>
      </c>
      <c r="M206" s="109" t="s">
        <v>3427</v>
      </c>
      <c r="N206" s="109" t="s">
        <v>3405</v>
      </c>
      <c r="O206" s="109" t="s">
        <v>3428</v>
      </c>
      <c r="P206" s="109" t="s">
        <v>3429</v>
      </c>
      <c r="Q206" s="109" t="s">
        <v>3430</v>
      </c>
      <c r="R206" s="109" t="s">
        <v>3431</v>
      </c>
      <c r="S206" s="109" t="s">
        <v>3432</v>
      </c>
      <c r="T206" s="356" t="s">
        <v>3434</v>
      </c>
      <c r="U206" s="356" t="s">
        <v>3433</v>
      </c>
      <c r="V206" s="109" t="s">
        <v>3438</v>
      </c>
      <c r="W206" s="20">
        <v>2012</v>
      </c>
    </row>
    <row r="207" spans="1:23" x14ac:dyDescent="0.35">
      <c r="F207" s="117"/>
    </row>
    <row r="219" spans="6:11" x14ac:dyDescent="0.35">
      <c r="G219" s="8"/>
      <c r="I219" s="127"/>
      <c r="J219" s="127"/>
      <c r="K219" s="127"/>
    </row>
    <row r="220" spans="6:11" x14ac:dyDescent="0.35">
      <c r="G220" s="8"/>
      <c r="I220" s="127"/>
      <c r="J220" s="127"/>
      <c r="K220" s="127"/>
    </row>
    <row r="221" spans="6:11" x14ac:dyDescent="0.35">
      <c r="G221" s="8"/>
      <c r="I221" s="127"/>
      <c r="J221" s="127"/>
      <c r="K221" s="127"/>
    </row>
    <row r="222" spans="6:11" x14ac:dyDescent="0.35">
      <c r="G222" s="8"/>
      <c r="I222" s="127"/>
      <c r="J222" s="127"/>
      <c r="K222" s="127"/>
    </row>
    <row r="223" spans="6:11" x14ac:dyDescent="0.35">
      <c r="F223" s="128"/>
      <c r="G223" s="8"/>
      <c r="I223" s="127"/>
      <c r="J223" s="127"/>
      <c r="K223" s="127"/>
    </row>
    <row r="224" spans="6:11" x14ac:dyDescent="0.35">
      <c r="F224" s="128"/>
      <c r="G224" s="8"/>
      <c r="I224" s="127"/>
      <c r="J224" s="127"/>
      <c r="K224" s="127"/>
    </row>
    <row r="225" spans="6:11" x14ac:dyDescent="0.35">
      <c r="F225" s="128"/>
      <c r="G225" s="8"/>
      <c r="I225" s="127"/>
      <c r="J225" s="127"/>
      <c r="K225" s="127"/>
    </row>
  </sheetData>
  <autoFilter ref="B2:W206" xr:uid="{B477E6AA-0B7A-4DE2-9223-9B4D6BFF3292}"/>
  <mergeCells count="2">
    <mergeCell ref="F1:W1"/>
    <mergeCell ref="B1:E1"/>
  </mergeCells>
  <conditionalFormatting sqref="E2:E188 E202:E1048576">
    <cfRule type="duplicateValues" dxfId="440" priority="20"/>
  </conditionalFormatting>
  <conditionalFormatting sqref="E3:E188 E202:E206">
    <cfRule type="duplicateValues" dxfId="439" priority="103"/>
  </conditionalFormatting>
  <conditionalFormatting sqref="E124">
    <cfRule type="expression" dxfId="438" priority="51">
      <formula>L106=1</formula>
    </cfRule>
    <cfRule type="expression" dxfId="437" priority="50">
      <formula>M106=1</formula>
    </cfRule>
  </conditionalFormatting>
  <conditionalFormatting sqref="E125:E126">
    <cfRule type="expression" dxfId="436" priority="46">
      <formula>#REF!=1</formula>
    </cfRule>
    <cfRule type="expression" dxfId="435" priority="45">
      <formula>#REF!=1</formula>
    </cfRule>
  </conditionalFormatting>
  <conditionalFormatting sqref="E189:E192">
    <cfRule type="duplicateValues" dxfId="434" priority="52"/>
  </conditionalFormatting>
  <conditionalFormatting sqref="E193">
    <cfRule type="duplicateValues" dxfId="433" priority="5"/>
  </conditionalFormatting>
  <conditionalFormatting sqref="E194">
    <cfRule type="duplicateValues" dxfId="432" priority="4"/>
  </conditionalFormatting>
  <conditionalFormatting sqref="E200:E201 E195:E198 G199">
    <cfRule type="duplicateValues" dxfId="431" priority="6"/>
  </conditionalFormatting>
  <conditionalFormatting sqref="E219 G219">
    <cfRule type="expression" dxfId="430" priority="42">
      <formula>J102="Yes"</formula>
    </cfRule>
  </conditionalFormatting>
  <conditionalFormatting sqref="E219">
    <cfRule type="expression" dxfId="429" priority="41">
      <formula>L103=1</formula>
    </cfRule>
    <cfRule type="expression" dxfId="428" priority="40">
      <formula>M103=1</formula>
    </cfRule>
  </conditionalFormatting>
  <conditionalFormatting sqref="G200">
    <cfRule type="expression" dxfId="427" priority="9">
      <formula>O103=1</formula>
    </cfRule>
    <cfRule type="expression" dxfId="426" priority="8">
      <formula>L102="Yes"</formula>
    </cfRule>
    <cfRule type="expression" dxfId="425" priority="10">
      <formula>N103=1</formula>
    </cfRule>
  </conditionalFormatting>
  <conditionalFormatting sqref="G201">
    <cfRule type="expression" dxfId="424" priority="7">
      <formula>L104="Yes"</formula>
    </cfRule>
    <cfRule type="expression" dxfId="423" priority="11">
      <formula>O105=1</formula>
    </cfRule>
    <cfRule type="expression" dxfId="422" priority="12">
      <formula>N105=1</formula>
    </cfRule>
  </conditionalFormatting>
  <conditionalFormatting sqref="G219">
    <cfRule type="expression" dxfId="421" priority="48">
      <formula>#REF!=1</formula>
    </cfRule>
    <cfRule type="expression" dxfId="420" priority="47">
      <formula>#REF!=1</formula>
    </cfRule>
  </conditionalFormatting>
  <conditionalFormatting sqref="G220">
    <cfRule type="expression" dxfId="419" priority="49">
      <formula>#REF!="Yes"</formula>
    </cfRule>
  </conditionalFormatting>
  <conditionalFormatting sqref="G220:G221">
    <cfRule type="expression" dxfId="418" priority="53">
      <formula>O103=1</formula>
    </cfRule>
    <cfRule type="expression" dxfId="417" priority="54">
      <formula>N103=1</formula>
    </cfRule>
  </conditionalFormatting>
  <conditionalFormatting sqref="G221:G222">
    <cfRule type="expression" dxfId="416" priority="57">
      <formula>L103="Yes"</formula>
    </cfRule>
  </conditionalFormatting>
  <conditionalFormatting sqref="G222">
    <cfRule type="expression" dxfId="415" priority="56">
      <formula>#REF!=1</formula>
    </cfRule>
    <cfRule type="expression" dxfId="414" priority="55">
      <formula>#REF!=1</formula>
    </cfRule>
  </conditionalFormatting>
  <conditionalFormatting sqref="G223">
    <cfRule type="expression" dxfId="413" priority="58">
      <formula>#REF!="Yes"</formula>
    </cfRule>
  </conditionalFormatting>
  <conditionalFormatting sqref="G223:G225">
    <cfRule type="expression" dxfId="412" priority="38">
      <formula>N105=1</formula>
    </cfRule>
    <cfRule type="expression" dxfId="411" priority="37">
      <formula>O105=1</formula>
    </cfRule>
  </conditionalFormatting>
  <conditionalFormatting sqref="G224:G225">
    <cfRule type="expression" dxfId="410" priority="39">
      <formula>L105="Yes"</formula>
    </cfRule>
  </conditionalFormatting>
  <conditionalFormatting sqref="J10">
    <cfRule type="expression" dxfId="409" priority="36">
      <formula>Q10=1</formula>
    </cfRule>
    <cfRule type="expression" dxfId="408" priority="35">
      <formula>R10=1</formula>
    </cfRule>
  </conditionalFormatting>
  <conditionalFormatting sqref="J41:J42">
    <cfRule type="expression" dxfId="407" priority="34">
      <formula>Q41=1</formula>
    </cfRule>
    <cfRule type="expression" dxfId="406" priority="33">
      <formula>R41=1</formula>
    </cfRule>
  </conditionalFormatting>
  <conditionalFormatting sqref="J50">
    <cfRule type="expression" dxfId="405" priority="32">
      <formula>Q50=1</formula>
    </cfRule>
    <cfRule type="expression" dxfId="404" priority="31">
      <formula>R50=1</formula>
    </cfRule>
  </conditionalFormatting>
  <conditionalFormatting sqref="J54">
    <cfRule type="expression" dxfId="403" priority="30">
      <formula>Q54=1</formula>
    </cfRule>
    <cfRule type="expression" dxfId="402" priority="29">
      <formula>R54=1</formula>
    </cfRule>
  </conditionalFormatting>
  <conditionalFormatting sqref="J57">
    <cfRule type="expression" dxfId="401" priority="28">
      <formula>Q57=1</formula>
    </cfRule>
    <cfRule type="expression" dxfId="400" priority="27">
      <formula>R57=1</formula>
    </cfRule>
  </conditionalFormatting>
  <conditionalFormatting sqref="J90">
    <cfRule type="expression" dxfId="399" priority="26">
      <formula>Q90=1</formula>
    </cfRule>
    <cfRule type="expression" dxfId="398" priority="25">
      <formula>R90=1</formula>
    </cfRule>
  </conditionalFormatting>
  <conditionalFormatting sqref="J92">
    <cfRule type="expression" dxfId="397" priority="24">
      <formula>Q92=1</formula>
    </cfRule>
    <cfRule type="expression" dxfId="396" priority="23">
      <formula>R92=1</formula>
    </cfRule>
  </conditionalFormatting>
  <conditionalFormatting sqref="J97">
    <cfRule type="expression" dxfId="395" priority="22">
      <formula>Q97=1</formula>
    </cfRule>
    <cfRule type="expression" dxfId="394" priority="21">
      <formula>R97=1</formula>
    </cfRule>
  </conditionalFormatting>
  <conditionalFormatting sqref="J107:J108 I109:I110">
    <cfRule type="expression" dxfId="393" priority="43">
      <formula>Q107=1</formula>
    </cfRule>
    <cfRule type="expression" dxfId="392" priority="44">
      <formula>P107=1</formula>
    </cfRule>
  </conditionalFormatting>
  <conditionalFormatting sqref="T2:T192 T202:T1048576">
    <cfRule type="duplicateValues" dxfId="391" priority="13"/>
  </conditionalFormatting>
  <conditionalFormatting sqref="T193:T201">
    <cfRule type="duplicateValues" dxfId="390" priority="69"/>
  </conditionalFormatting>
  <conditionalFormatting sqref="T200:T201 T193:T198 V199">
    <cfRule type="duplicateValues" dxfId="389" priority="3"/>
  </conditionalFormatting>
  <conditionalFormatting sqref="U193:U201">
    <cfRule type="duplicateValues" dxfId="388" priority="67"/>
  </conditionalFormatting>
  <hyperlinks>
    <hyperlink ref="T89" r:id="rId1" xr:uid="{EFD936E1-B2ED-472C-ADDD-C93F1D264681}"/>
    <hyperlink ref="U89" r:id="rId2" xr:uid="{3E111FA3-CE05-4C5E-A8C0-0FFC8FC6D8D7}"/>
    <hyperlink ref="T3" r:id="rId3" xr:uid="{09B95410-84B1-427F-8604-0D568C164C50}"/>
    <hyperlink ref="U3" r:id="rId4" xr:uid="{C6B5053B-4159-4489-996F-C5FB08201AE4}"/>
    <hyperlink ref="T4" r:id="rId5" xr:uid="{0EDF95AE-5FCD-4DBC-8655-BC6674BFA527}"/>
    <hyperlink ref="U4" r:id="rId6" xr:uid="{BC3AC66D-1742-48D0-8555-9F637C967726}"/>
    <hyperlink ref="T6" r:id="rId7" xr:uid="{21574765-3342-4FCA-9C20-D3008BA5946B}"/>
    <hyperlink ref="T7" r:id="rId8" xr:uid="{B46B033F-1703-4934-807F-59648D7F9862}"/>
    <hyperlink ref="U7" r:id="rId9" xr:uid="{521CF7E8-A3DA-463C-9EBC-AF0252506A50}"/>
    <hyperlink ref="T8" r:id="rId10" xr:uid="{8095C6AA-6263-41DB-B000-6F037D443B65}"/>
    <hyperlink ref="T9" r:id="rId11" xr:uid="{8F62A7D2-95FB-42F7-8978-F34244216673}"/>
    <hyperlink ref="U9" r:id="rId12" xr:uid="{1E283874-8967-40DE-8B59-B6BBE52B0FA9}"/>
    <hyperlink ref="T10" r:id="rId13" xr:uid="{2B29B58A-76BC-4CAF-BDB7-F91D8AA37F8A}"/>
    <hyperlink ref="T11" r:id="rId14" xr:uid="{354BD893-AAE3-469B-8104-73352DC6DCD1}"/>
    <hyperlink ref="U11" r:id="rId15" xr:uid="{DF06D76B-D3F5-411D-BDB9-FDB725061B03}"/>
    <hyperlink ref="T12" r:id="rId16" xr:uid="{79B235A5-831B-42F6-ADF3-C441ABBDD273}"/>
    <hyperlink ref="U12" r:id="rId17" xr:uid="{4E895A92-779C-458C-B85B-BC59552F583D}"/>
    <hyperlink ref="T13" r:id="rId18" xr:uid="{9AFBA75B-6CB0-4AF5-9323-29E7150B5395}"/>
    <hyperlink ref="U13" r:id="rId19" xr:uid="{4BD6E9EF-A22F-487C-8EDB-8485DCB9DB69}"/>
    <hyperlink ref="T14" r:id="rId20" xr:uid="{8C2DF5FF-687B-42DB-99AF-EA49C9773269}"/>
    <hyperlink ref="U14" r:id="rId21" xr:uid="{B14A2FE4-0082-4DD7-BB07-C5D3B072BBFE}"/>
    <hyperlink ref="T98" r:id="rId22" xr:uid="{4791DB8E-A550-4929-B267-E90318F937D2}"/>
    <hyperlink ref="T100" r:id="rId23" xr:uid="{D4D9233D-FAB6-4903-BFCA-837C7E3DA634}"/>
    <hyperlink ref="T101" r:id="rId24" xr:uid="{62CD8B46-1CFB-418E-8832-4EC2EAA09381}"/>
    <hyperlink ref="T102" r:id="rId25" xr:uid="{D3DEC21E-0F79-4D44-B98C-0B844E9F2F48}"/>
    <hyperlink ref="T103" r:id="rId26" xr:uid="{9D3E847A-BD55-40F3-A0A7-C8E3BD335B77}"/>
    <hyperlink ref="T106" r:id="rId27" xr:uid="{CE76A5BF-F04A-425E-84C4-3675F332D2B4}"/>
    <hyperlink ref="T107" r:id="rId28" xr:uid="{F6FDA112-0C76-49BC-9C65-565C97B2E3E0}"/>
    <hyperlink ref="U98" r:id="rId29" xr:uid="{4C642BC1-9908-4C21-BD99-9D5F860F2429}"/>
    <hyperlink ref="U99" r:id="rId30" xr:uid="{FCF69442-50CD-4215-80A4-7F8529E8D302}"/>
    <hyperlink ref="U100" r:id="rId31" xr:uid="{8C54E013-27CC-43C7-B7ED-AA58A040A3E0}"/>
    <hyperlink ref="U101" r:id="rId32" xr:uid="{26D409EF-69BE-4C18-AF2C-7EFB186B696F}"/>
    <hyperlink ref="U102" r:id="rId33" xr:uid="{D59FFF39-F995-41BE-8C99-1F6DEBDD0201}"/>
    <hyperlink ref="U105" r:id="rId34" xr:uid="{F26D51EE-0E0F-4029-833C-7B1C5C9D3E53}"/>
    <hyperlink ref="U107" r:id="rId35" xr:uid="{85726B9A-303C-4A54-BC2A-57D7C309D103}"/>
    <hyperlink ref="T109" r:id="rId36" xr:uid="{9381B420-9CE6-4309-B919-A34A4E136C06}"/>
    <hyperlink ref="U109" r:id="rId37" xr:uid="{D2DE91AF-4112-4736-814D-C35CE862C509}"/>
    <hyperlink ref="T110" r:id="rId38" xr:uid="{E4DEBC75-0273-4F3B-9EED-A4EE3A96AEA4}"/>
    <hyperlink ref="U110" r:id="rId39" xr:uid="{BE41C435-4856-4FEA-895A-D6DA72FEE3FA}"/>
    <hyperlink ref="T111" r:id="rId40" xr:uid="{116BACFB-DC50-480D-B769-89E932650FA4}"/>
    <hyperlink ref="U111" r:id="rId41" xr:uid="{B715EF26-5391-4077-9E3C-8961687B6B62}"/>
    <hyperlink ref="T202" r:id="rId42" xr:uid="{4AC9D2DF-ED24-4EE2-8E9B-C4B9169D1163}"/>
    <hyperlink ref="U202" r:id="rId43" xr:uid="{B348CCF2-4340-4EF6-82A1-3813D70B2097}"/>
    <hyperlink ref="T112" r:id="rId44" xr:uid="{7B2CB87A-FC81-4011-A2AE-554C66A6CAC9}"/>
    <hyperlink ref="T113" r:id="rId45" xr:uid="{C3919342-7C5E-48D7-AB05-80A2FDD1D0EA}"/>
    <hyperlink ref="T114" r:id="rId46" xr:uid="{E1865AFF-27AB-440F-838F-FC95E42631C6}"/>
    <hyperlink ref="T115" r:id="rId47" xr:uid="{C1BF5A09-0670-4704-A939-FBB12DC4EC51}"/>
    <hyperlink ref="U10" r:id="rId48" xr:uid="{F8DA8C31-6F4B-4524-8574-445A1B036D6D}"/>
    <hyperlink ref="T17" r:id="rId49" xr:uid="{EEE535B6-DAA2-4FAD-BD57-2552277676AE}"/>
    <hyperlink ref="U17" r:id="rId50" xr:uid="{373241B5-C475-4AF0-AED2-AAAD19C9D520}"/>
    <hyperlink ref="T5" r:id="rId51" xr:uid="{9BC00CA0-5DDE-49DA-95EE-5F0307260CDC}"/>
    <hyperlink ref="U5" r:id="rId52" xr:uid="{CC7032F9-6D99-4AB8-891F-2E76EFDE6BDF}"/>
    <hyperlink ref="T18" r:id="rId53" xr:uid="{18C9DCEC-8B99-4F1D-9427-2754746ADFC5}"/>
    <hyperlink ref="U18" r:id="rId54" xr:uid="{5B299D5B-3039-4953-82B9-38F4D5BAEF84}"/>
    <hyperlink ref="U19" r:id="rId55" xr:uid="{12B5E6C3-0423-4478-839E-B46C24984586}"/>
    <hyperlink ref="T19" r:id="rId56" xr:uid="{5A8B7F43-4FF5-4190-9CB8-89DF6EE9474A}"/>
    <hyperlink ref="T20" r:id="rId57" xr:uid="{7340FE6B-E3A6-4371-B26A-A0098559FADF}"/>
    <hyperlink ref="U20" r:id="rId58" xr:uid="{2AF640AD-A6D8-446A-B3B8-3B844E224124}"/>
    <hyperlink ref="U21" r:id="rId59" xr:uid="{D4D93574-0293-4D39-A3C8-B96E1CED4C5C}"/>
    <hyperlink ref="T21" r:id="rId60" xr:uid="{CC596F34-A204-4D22-8723-380C820F7E52}"/>
    <hyperlink ref="U22" r:id="rId61" xr:uid="{DF14E969-4C29-40B9-8116-18EAEF4A5E99}"/>
    <hyperlink ref="T22" r:id="rId62" xr:uid="{B6DF944F-980D-47A8-81D9-F2B1F4D683D2}"/>
    <hyperlink ref="U23" r:id="rId63" xr:uid="{852F2676-A968-45EB-8B34-6EA134BCD545}"/>
    <hyperlink ref="T23" r:id="rId64" xr:uid="{9919DB43-3832-44AE-8204-B9F94AB4C2DC}"/>
    <hyperlink ref="T24" r:id="rId65" xr:uid="{106F31C1-C30A-4FD1-8D43-0CB4AB919268}"/>
    <hyperlink ref="U24" r:id="rId66" xr:uid="{DFD20536-4305-47B0-BDC4-6A7991F80C8D}"/>
    <hyperlink ref="U25" r:id="rId67" xr:uid="{30BB8122-C841-44B4-BFDC-3A9148E4C6F7}"/>
    <hyperlink ref="T25" r:id="rId68" xr:uid="{321BC47E-7235-4E8B-B2D9-7E15FA9B9DAB}"/>
    <hyperlink ref="T26" r:id="rId69" xr:uid="{412E9DDB-FC36-43F0-8FA2-17547CFA5277}"/>
    <hyperlink ref="U26" r:id="rId70" xr:uid="{6B004EA2-EC62-4DFC-BC15-2FA2817A047D}"/>
    <hyperlink ref="T27" r:id="rId71" xr:uid="{52D4D7CC-D36C-4AA7-AD84-83C40306C778}"/>
    <hyperlink ref="U27" r:id="rId72" xr:uid="{03104080-F1B8-43D4-8D27-60E7E82348C9}"/>
    <hyperlink ref="U28" r:id="rId73" xr:uid="{48CD4A80-5504-4554-A57F-55B723AAD0B7}"/>
    <hyperlink ref="U29" r:id="rId74" xr:uid="{FEECDB52-0E11-43FC-9E2A-5D13F8DD9084}"/>
    <hyperlink ref="T29" r:id="rId75" xr:uid="{C259947B-C37F-4421-9F0C-E986070AF844}"/>
    <hyperlink ref="T30" r:id="rId76" xr:uid="{5287B301-16DE-451B-AA01-51BDB44501A4}"/>
    <hyperlink ref="U30" r:id="rId77" xr:uid="{D69F155E-243A-4C0E-BE35-92E33AB46DB9}"/>
    <hyperlink ref="T31" r:id="rId78" xr:uid="{884C3009-EA65-40DE-A7B8-745EABDF28E0}"/>
    <hyperlink ref="U31" r:id="rId79" xr:uid="{9CE0A9C0-BBB6-419B-90D0-62A24E38070C}"/>
    <hyperlink ref="T32" r:id="rId80" xr:uid="{AB8EAB89-C49F-4F2C-AE21-BC33DE84DDA2}"/>
    <hyperlink ref="U32" r:id="rId81" xr:uid="{DF8FD8D2-3539-492A-84C1-52BCB827242D}"/>
    <hyperlink ref="T33" r:id="rId82" xr:uid="{BED4E4CD-3F17-421A-8200-450E25981056}"/>
    <hyperlink ref="U33" r:id="rId83" xr:uid="{60A1881E-F464-4039-9876-95F32834D1F9}"/>
    <hyperlink ref="U34" r:id="rId84" xr:uid="{CE9E31C8-3DFD-4465-9ED3-F9A8D7D166A4}"/>
    <hyperlink ref="T34" r:id="rId85" xr:uid="{9E667306-6959-4380-90DA-E352715E5BC6}"/>
    <hyperlink ref="U35" r:id="rId86" xr:uid="{75FAC16C-8B19-4029-99D5-BAC197FDBD5C}"/>
    <hyperlink ref="T35" r:id="rId87" xr:uid="{0ED4EC82-804E-4C0D-A9E2-4DFBAA6336E2}"/>
    <hyperlink ref="U36" r:id="rId88" xr:uid="{54E98014-2AAF-43C6-AD3D-C44C88B8FE64}"/>
    <hyperlink ref="T36" r:id="rId89" xr:uid="{EA55C95E-6FFA-451F-9055-ECB578492B64}"/>
    <hyperlink ref="U37" r:id="rId90" xr:uid="{E4449D96-D8D1-4B6E-90B4-5396DD5297D6}"/>
    <hyperlink ref="T37" r:id="rId91" xr:uid="{9710A106-C966-4D42-9FCA-24F9E200EE01}"/>
    <hyperlink ref="U38" r:id="rId92" xr:uid="{92A817A4-E41F-4874-89B0-4CBBA8BC4A7A}"/>
    <hyperlink ref="T38" r:id="rId93" xr:uid="{A6EF9ECF-0879-44DF-AAF0-FBCD8488944B}"/>
    <hyperlink ref="U116" r:id="rId94" xr:uid="{BCB0F5EB-5D02-4D24-B662-3001D4457CDA}"/>
    <hyperlink ref="U118" r:id="rId95" display="https://www.gridlabd.org/" xr:uid="{415089F4-22BD-4A56-BBE9-CE19E93DDCE2}"/>
    <hyperlink ref="T119" r:id="rId96" xr:uid="{64279DDD-BBFF-486D-9A89-94F52615BACE}"/>
    <hyperlink ref="U119" r:id="rId97" xr:uid="{32952861-2150-41C1-A197-3E8D3D85AA5A}"/>
    <hyperlink ref="U120" r:id="rId98" xr:uid="{04145131-DF42-450A-A3E7-5F7263C714AD}"/>
    <hyperlink ref="U121" r:id="rId99" xr:uid="{B23521EF-0988-43B5-BDDA-339B31A45602}"/>
    <hyperlink ref="U122" r:id="rId100" xr:uid="{964EB64B-5EAF-4BC7-B202-425E64576FF0}"/>
    <hyperlink ref="T123" r:id="rId101" xr:uid="{AD02BC13-8658-4AA8-89B6-5946CA91FCA1}"/>
    <hyperlink ref="U123" r:id="rId102" xr:uid="{2AEE79DD-21EC-4AEE-9484-C9870596AB57}"/>
    <hyperlink ref="U39" r:id="rId103" xr:uid="{072B1157-484C-4894-9F6B-8F077C371569}"/>
    <hyperlink ref="T39" r:id="rId104" xr:uid="{DD2A7AD6-0D58-42A5-80C1-C8754884C005}"/>
    <hyperlink ref="T124" r:id="rId105" xr:uid="{1CB5D749-A8F0-4CC9-96A4-FBD2EAB8BCE7}"/>
    <hyperlink ref="U124" r:id="rId106" xr:uid="{E6AA6C08-A624-4776-9360-71262AA4095D}"/>
    <hyperlink ref="T128" r:id="rId107" xr:uid="{ABD6E9DF-AD12-4F86-8E74-B59393EF590A}"/>
    <hyperlink ref="T129" r:id="rId108" xr:uid="{58CB2DF2-8AC0-4FC5-A208-B4EE8C22CD83}"/>
    <hyperlink ref="U129" r:id="rId109" xr:uid="{7C6FE82C-B48E-4463-AFDE-92F3D8037D45}"/>
    <hyperlink ref="T40" r:id="rId110" xr:uid="{AD956815-E4DA-461C-9654-B8E19E21CFA9}"/>
    <hyperlink ref="U40" r:id="rId111" xr:uid="{063E44FB-A912-4549-A1C3-040E4ABA269C}"/>
    <hyperlink ref="T41" r:id="rId112" xr:uid="{752105B0-E75B-4E36-9C2F-5B43DBC387AE}"/>
    <hyperlink ref="U41" r:id="rId113" xr:uid="{1581D6F9-3AC8-4359-A0A3-EE7343E6DA00}"/>
    <hyperlink ref="T42" r:id="rId114" xr:uid="{ED34AAF5-791A-4BB4-9898-93D0D11072E0}"/>
    <hyperlink ref="U42" r:id="rId115" xr:uid="{2333A479-08EB-4684-A367-E311C7A5C296}"/>
    <hyperlink ref="T43" r:id="rId116" xr:uid="{244F3CD9-668D-4EEA-B13E-F65FDF0048A8}"/>
    <hyperlink ref="U43" r:id="rId117" xr:uid="{ED1873E1-31B1-40D2-887A-A082419EAE6F}"/>
    <hyperlink ref="T44" r:id="rId118" xr:uid="{3CB912B0-C927-4DF7-BC04-3DBD21F59B76}"/>
    <hyperlink ref="U44" r:id="rId119" xr:uid="{C45AD49B-4797-4AE5-8F54-98C7CA92F425}"/>
    <hyperlink ref="T45" r:id="rId120" xr:uid="{DA62A51A-C9D4-41AF-8CE5-99778B998574}"/>
    <hyperlink ref="U45" r:id="rId121" xr:uid="{7AF75FFC-AA98-45FD-B61E-13B130EAE127}"/>
    <hyperlink ref="U46" r:id="rId122" xr:uid="{8D710CC9-C8DF-4CF2-BB71-B0588657E33E}"/>
    <hyperlink ref="T46" r:id="rId123" xr:uid="{AE80E0EF-1478-44AC-BB29-597EAC144CAD}"/>
    <hyperlink ref="U47" r:id="rId124" xr:uid="{4001DED5-B171-4695-ACAE-63A79A19048D}"/>
    <hyperlink ref="T47" r:id="rId125" xr:uid="{21F923C1-FE47-4469-A210-B43825A42496}"/>
    <hyperlink ref="U48" r:id="rId126" xr:uid="{382FE8D7-321A-4CE5-A861-A4EE2B547C75}"/>
    <hyperlink ref="T48" r:id="rId127" xr:uid="{2890DD06-2711-47D1-A1BA-90D803782F48}"/>
    <hyperlink ref="U130" r:id="rId128" xr:uid="{2121EC56-51F9-45AD-9D2C-F01853268DDF}"/>
    <hyperlink ref="U131" r:id="rId129" xr:uid="{BB6128B9-7C0F-4820-97DB-60625059CF63}"/>
    <hyperlink ref="U132" r:id="rId130" xr:uid="{F03DB608-832C-4AE4-9EDE-2C6AE2AE2520}"/>
    <hyperlink ref="U133" r:id="rId131" display="https://energydata.info/" xr:uid="{AAA2F4CB-EB0E-4CEA-A400-773454F1D463}"/>
    <hyperlink ref="T134" r:id="rId132" xr:uid="{EA941929-C498-4B9D-B33B-D5A73876A801}"/>
    <hyperlink ref="U135" r:id="rId133" xr:uid="{7A3D8A9D-DFDC-4996-A467-7025D1B7E797}"/>
    <hyperlink ref="U136" r:id="rId134" xr:uid="{84FDF7C4-7116-4556-99FB-E64268251C7A}"/>
    <hyperlink ref="U137" r:id="rId135" xr:uid="{D2790042-F456-4C89-AFBC-0A0E15C40943}"/>
    <hyperlink ref="U138" r:id="rId136" xr:uid="{7A68FFF4-4B2F-4E48-AC2A-A39F8EED0C57}"/>
    <hyperlink ref="U139" r:id="rId137" xr:uid="{0F598064-D392-4C8B-902E-56438087E341}"/>
    <hyperlink ref="U141" r:id="rId138" xr:uid="{1BC886BE-DD0F-44A1-BDBD-AB591C5A674E}"/>
    <hyperlink ref="U144" r:id="rId139" xr:uid="{002B0ED9-CC71-4BC6-A8AA-2549FB1BD4B0}"/>
    <hyperlink ref="U146" r:id="rId140" xr:uid="{9B219F97-97C3-4CCA-BD52-3512E0830415}"/>
    <hyperlink ref="T147" r:id="rId141" xr:uid="{DC7EAB4B-FAFB-4CFB-AF70-D3E80B2A0FD4}"/>
    <hyperlink ref="T148" r:id="rId142" xr:uid="{290D0E99-6548-4B3C-9A80-887AFD411F98}"/>
    <hyperlink ref="U149" r:id="rId143" xr:uid="{AAEA89F0-1670-4131-8C85-D671D1DA4A18}"/>
    <hyperlink ref="T150" r:id="rId144" xr:uid="{DD436831-14F5-4FEB-A62B-E4167224EB71}"/>
    <hyperlink ref="U150" r:id="rId145" xr:uid="{9BA37D5F-3AE7-4B04-8AA5-8182A6BA0FBE}"/>
    <hyperlink ref="U151" r:id="rId146" xr:uid="{F5FADC02-4F98-49D5-BD95-B25FF72FFF72}"/>
    <hyperlink ref="T152" r:id="rId147" xr:uid="{8D98512F-A439-4094-89C5-238FDFBE1570}"/>
    <hyperlink ref="U152" r:id="rId148" xr:uid="{1D157077-0F21-4B67-BAA8-7B3DDC011CBB}"/>
    <hyperlink ref="T153" r:id="rId149" xr:uid="{F281EACB-EE2F-48C1-8BE5-81A79CA9C5DC}"/>
    <hyperlink ref="U153" r:id="rId150" xr:uid="{AC78BB36-31B7-4054-8477-F48A1DC3603A}"/>
    <hyperlink ref="T155" r:id="rId151" xr:uid="{B61A2A6F-6065-4A29-AB89-E5C0FF45996E}"/>
    <hyperlink ref="U155" r:id="rId152" xr:uid="{339D39BB-90C5-4B37-A573-ED0D82AB22A1}"/>
    <hyperlink ref="T156" r:id="rId153" xr:uid="{301CD2FD-27EA-4376-90B0-D20E97E9279B}"/>
    <hyperlink ref="U156" r:id="rId154" xr:uid="{512F5E92-B9AC-4615-8971-2BD73F058C25}"/>
    <hyperlink ref="T157" r:id="rId155" xr:uid="{DB550678-3C97-4C52-A91A-19A22D43206E}"/>
    <hyperlink ref="T158" r:id="rId156" xr:uid="{942ADE6C-3C41-47C5-8222-C4E88596CF68}"/>
    <hyperlink ref="U158" r:id="rId157" display="https://simulationresearch.lbl.gov/modelica/" xr:uid="{4BE1C3A2-4AB1-4983-8C91-616D8C988A77}"/>
    <hyperlink ref="T159" r:id="rId158" xr:uid="{464B7B7B-833E-4D94-B0D3-9F5C78C96F16}"/>
    <hyperlink ref="T161" r:id="rId159" xr:uid="{07CE9167-D8C6-4C50-A9C1-6B0A55311634}"/>
    <hyperlink ref="T163" r:id="rId160" xr:uid="{961EC8A1-B484-49EE-A4D0-B4BC772E0352}"/>
    <hyperlink ref="U164" r:id="rId161" xr:uid="{24EC6523-55C5-4D87-9EC4-2DF7E6BB4AAF}"/>
    <hyperlink ref="U165" r:id="rId162" xr:uid="{842F39E5-D11F-426D-BCD4-5DD38201DD03}"/>
    <hyperlink ref="T166" r:id="rId163" xr:uid="{C9B12281-84CA-49DC-ACAD-1948C0111607}"/>
    <hyperlink ref="T167" r:id="rId164" xr:uid="{6051750E-59BC-4A4E-AD7A-1EEB79279891}"/>
    <hyperlink ref="U167" r:id="rId165" xr:uid="{BCDF03F2-4C9D-4DE6-93BD-469F4320B4CA}"/>
    <hyperlink ref="T168" r:id="rId166" xr:uid="{E183B19F-0FB3-4200-9BD1-E87C11D0FC10}"/>
    <hyperlink ref="T169" r:id="rId167" xr:uid="{04DD4056-6AEF-4CAA-9535-A3041A51AC5C}"/>
    <hyperlink ref="U169" r:id="rId168" xr:uid="{10F35B5C-EBB8-4E6B-8568-F383CB523E26}"/>
    <hyperlink ref="T170" r:id="rId169" xr:uid="{5FE04D58-F324-4571-9519-CB5E4B3EC08D}"/>
    <hyperlink ref="T171" r:id="rId170" xr:uid="{1CA221D1-61E5-47E1-BE57-3B7079E666F9}"/>
    <hyperlink ref="U172" r:id="rId171" xr:uid="{6A95C176-A872-4C35-8AE8-C3F97CDEABFC}"/>
    <hyperlink ref="U174" r:id="rId172" xr:uid="{94211EC1-4DFF-4B46-80D2-14A9AEC2A1EA}"/>
    <hyperlink ref="U175" r:id="rId173" xr:uid="{398897C6-B7A9-4143-8647-C90C0C310C15}"/>
    <hyperlink ref="T176" r:id="rId174" xr:uid="{B755F460-2836-4400-A921-B4EB1135C8BF}"/>
    <hyperlink ref="U176" r:id="rId175" xr:uid="{61BE5219-E83A-4BB4-82FC-F7F28E0B8943}"/>
    <hyperlink ref="T177" r:id="rId176" xr:uid="{7DAC45A5-D01A-4098-878D-0B01E333D3BD}"/>
    <hyperlink ref="U177" r:id="rId177" xr:uid="{BBBC85E6-271E-4E27-91F1-68395FF359D7}"/>
    <hyperlink ref="T180" r:id="rId178" xr:uid="{A592190F-ACB7-406C-AA66-E7BF7038ED96}"/>
    <hyperlink ref="U180" r:id="rId179" xr:uid="{12DD8983-E2F6-4546-AB9B-F1AA4DBB7CE2}"/>
    <hyperlink ref="T181" r:id="rId180" xr:uid="{2AF2631E-6522-4919-8B6D-47DF9E5210A0}"/>
    <hyperlink ref="U181" r:id="rId181" xr:uid="{415DB558-6ECF-410B-804D-A8DD027C1ABF}"/>
    <hyperlink ref="U182" r:id="rId182" xr:uid="{F339CDAC-051B-4D2A-8E0C-907C860182F4}"/>
    <hyperlink ref="T183" r:id="rId183" xr:uid="{A109185E-E0A9-468D-BB2B-9AAE6831754F}"/>
    <hyperlink ref="U183" r:id="rId184" xr:uid="{DC55137B-D649-4B16-BE83-7A0923A03454}"/>
    <hyperlink ref="T184" r:id="rId185" xr:uid="{790F6E35-C4F5-4942-BAA0-55CF0C45E795}"/>
    <hyperlink ref="U184" r:id="rId186" xr:uid="{C40DBDCE-21E8-4575-B9D2-61BF6F18D766}"/>
    <hyperlink ref="T185" r:id="rId187" xr:uid="{C7F8AA8D-FEC0-4688-93B7-5DBC79D15B00}"/>
    <hyperlink ref="U185" r:id="rId188" xr:uid="{F2B15393-9BD2-4475-9478-CBE1A667903D}"/>
    <hyperlink ref="U186" r:id="rId189" display="https://www.openbravo.com" xr:uid="{CA6FDA58-5429-4A2D-89F0-C87CEDB6DF1B}"/>
    <hyperlink ref="T187" r:id="rId190" xr:uid="{06D9E9E1-33D4-4980-9A2E-FF9122628C24}"/>
    <hyperlink ref="U187" r:id="rId191" xr:uid="{E3E0986B-4A55-4E22-9197-3B24B625373C}"/>
    <hyperlink ref="U188" r:id="rId192" xr:uid="{4A752F11-D923-4DC8-B053-C6E1F590794D}"/>
    <hyperlink ref="U106" r:id="rId193" xr:uid="{044D96E9-D21F-4DE1-8F19-1A2E196B95E2}"/>
    <hyperlink ref="T49" r:id="rId194" xr:uid="{1A3346DA-B0A2-4AF3-B584-4DD1D36982FA}"/>
    <hyperlink ref="U49" r:id="rId195" xr:uid="{583D059C-7AFD-4AC5-8B95-41FF26AF8E26}"/>
    <hyperlink ref="T50" r:id="rId196" xr:uid="{7823F14D-6BF7-4F84-97B2-3AEFE8D5DC71}"/>
    <hyperlink ref="U50" r:id="rId197" xr:uid="{FBC42289-228C-427D-894F-7D3C9292702E}"/>
    <hyperlink ref="T51" r:id="rId198" xr:uid="{8C8C1A18-F93D-47B2-B9D4-AA51DB7B3657}"/>
    <hyperlink ref="U51" r:id="rId199" xr:uid="{CF96B83D-7519-4DD0-94C9-C7AC993FD7EE}"/>
    <hyperlink ref="T52" r:id="rId200" xr:uid="{22863780-5E31-4B1B-BF2C-A5B88E465207}"/>
    <hyperlink ref="T53" r:id="rId201" xr:uid="{6810F1A9-66D6-4AA8-BFAA-65FB6E3114AA}"/>
    <hyperlink ref="U53" r:id="rId202" xr:uid="{F064E117-34BF-43CE-BB88-71FAAC6F9317}"/>
    <hyperlink ref="T54" r:id="rId203" xr:uid="{D085C57E-8135-43F8-BFB4-C6150CCA8E2F}"/>
    <hyperlink ref="T55" r:id="rId204" xr:uid="{E4CF4F42-15A3-4CE3-82DF-0355445F87FB}"/>
    <hyperlink ref="U55" r:id="rId205" xr:uid="{A67F6C33-E3DE-420D-B681-B1701B38A38F}"/>
    <hyperlink ref="U56" r:id="rId206" xr:uid="{81E3A8EE-0831-4949-819D-C3D8A6744FA0}"/>
    <hyperlink ref="T56" r:id="rId207" xr:uid="{C1C8C4BA-94D6-49A9-B1BD-34F9E502B102}"/>
    <hyperlink ref="T57" r:id="rId208" xr:uid="{927484F8-FA99-4DBA-B09F-C24B3B3F5312}"/>
    <hyperlink ref="T58" r:id="rId209" xr:uid="{AB6F1D69-A942-4215-A5E4-FBDE70721E41}"/>
    <hyperlink ref="U58" r:id="rId210" xr:uid="{3D3FE8FB-4C8D-4439-B6D7-4120F022CFB5}"/>
    <hyperlink ref="T59" r:id="rId211" xr:uid="{C3CE2E82-54C5-47DD-A59A-EE6D6C428184}"/>
    <hyperlink ref="U59" r:id="rId212" xr:uid="{C63BC5A5-09B2-4CDA-A144-CCB04E429460}"/>
    <hyperlink ref="T60" r:id="rId213" xr:uid="{5D94E2E4-E5E2-4106-B5C8-3D4BF8041CFE}"/>
    <hyperlink ref="U60" r:id="rId214" xr:uid="{48842943-0F24-4DE2-B3C6-CECAF1D0A7CC}"/>
    <hyperlink ref="T61" r:id="rId215" xr:uid="{10A4BCC7-B21C-4A67-B6EE-A4D30E3A9B2E}"/>
    <hyperlink ref="T62" r:id="rId216" xr:uid="{A3D4986F-B99D-44F9-90CE-66A7B104A294}"/>
    <hyperlink ref="U62" r:id="rId217" xr:uid="{B130FEB9-4DC3-427F-A27A-44F35E70605A}"/>
    <hyperlink ref="T63" r:id="rId218" xr:uid="{1DF4B6F1-9434-4977-BCD1-3F24E57943DD}"/>
    <hyperlink ref="T64" r:id="rId219" xr:uid="{71EB3E38-7BEE-4971-8139-5111C1FEA58C}"/>
    <hyperlink ref="U64" r:id="rId220" xr:uid="{A952633E-D50B-48F0-9903-2FE6A4D2782A}"/>
    <hyperlink ref="U65" r:id="rId221" xr:uid="{3057A167-BB01-47AA-9D23-3A4CB54CF034}"/>
    <hyperlink ref="T65" r:id="rId222" xr:uid="{B364126C-918B-43C6-B46F-7ABCAC6AEFC8}"/>
    <hyperlink ref="U66" r:id="rId223" xr:uid="{249B2679-F4C0-43F5-8462-0A4A7515A839}"/>
    <hyperlink ref="T66" r:id="rId224" xr:uid="{56C14BD8-BA2A-474D-8313-C215CF745B2A}"/>
    <hyperlink ref="T67" r:id="rId225" xr:uid="{C148DA31-3D73-493F-BB2E-11EFAC1B199D}"/>
    <hyperlink ref="U67" r:id="rId226" xr:uid="{7B911684-FAFD-45D0-9B78-77F9CEC27653}"/>
    <hyperlink ref="T68" r:id="rId227" xr:uid="{39508F75-3F7C-4D48-8673-A2FD5D8E2ED2}"/>
    <hyperlink ref="U68" r:id="rId228" xr:uid="{72181BC8-F625-4224-B446-3A0D90D6167E}"/>
    <hyperlink ref="T69" r:id="rId229" xr:uid="{B0F3D775-358D-45F1-88FD-4E6B70525308}"/>
    <hyperlink ref="U69" r:id="rId230" xr:uid="{8D7347F8-BFE9-4CC5-B23F-435AD1222F73}"/>
    <hyperlink ref="U112" r:id="rId231" xr:uid="{BEBA704F-CA34-4181-AA4D-6B06F6F73B78}"/>
    <hyperlink ref="U113" r:id="rId232" xr:uid="{E4007D54-3DA6-440F-AE42-E676B9B4B3E7}"/>
    <hyperlink ref="U114" r:id="rId233" xr:uid="{F2E9F325-9F98-4344-BA3A-CE5DF3151AE9}"/>
    <hyperlink ref="T70" r:id="rId234" xr:uid="{EFB5348D-A292-4EFC-9867-4C70D58995D5}"/>
    <hyperlink ref="U70" r:id="rId235" xr:uid="{5B443FB9-372A-4B25-9AF1-474310CD5817}"/>
    <hyperlink ref="U71" r:id="rId236" xr:uid="{F7E49D61-24BD-4058-8487-96927FA140EB}"/>
    <hyperlink ref="T71" r:id="rId237" xr:uid="{776CA80B-78F2-4C1E-BD16-C5F43D3896EF}"/>
    <hyperlink ref="T72" r:id="rId238" xr:uid="{15EB3DE1-F92D-4584-B8BC-2FA1A73C2B21}"/>
    <hyperlink ref="U72" r:id="rId239" xr:uid="{355132CC-F785-4E16-9445-30DAC6CCE9E2}"/>
    <hyperlink ref="T116" r:id="rId240" xr:uid="{8B2EBA73-8E25-4499-A27A-6688948D81B7}"/>
    <hyperlink ref="T117" r:id="rId241" xr:uid="{264810D8-E57D-4CE6-849C-4514B0EA370A}"/>
    <hyperlink ref="U117" r:id="rId242" xr:uid="{F3622B99-06A5-4353-BE5A-9420596888E6}"/>
    <hyperlink ref="T73" r:id="rId243" xr:uid="{380DCDF1-12CD-43C1-931A-791CF75F4C31}"/>
    <hyperlink ref="U73" r:id="rId244" xr:uid="{8FFCB68A-83A4-49AA-8F63-90A16368D838}"/>
    <hyperlink ref="T74" r:id="rId245" xr:uid="{522B8235-B196-49A8-8CDD-76B58AF20C8E}"/>
    <hyperlink ref="U74" r:id="rId246" xr:uid="{B10E48C3-F06D-4E4C-99D0-F63A600BD49B}"/>
    <hyperlink ref="T75" r:id="rId247" xr:uid="{5A291F09-34DE-4782-847F-EA352669C82A}"/>
    <hyperlink ref="U75" r:id="rId248" xr:uid="{5301BB26-75DA-4366-8BE5-31E3A73941C5}"/>
    <hyperlink ref="T122" r:id="rId249" display="https://github.com/shapeshifter" xr:uid="{7124B823-5BFB-4A68-9A91-8D313B6D6EB6}"/>
    <hyperlink ref="T76" r:id="rId250" xr:uid="{9F85FBDA-7065-42D5-B3C0-4A790C4C201C}"/>
    <hyperlink ref="U76" r:id="rId251" xr:uid="{8DA7F293-FA60-4FB5-AC38-8592657A75C6}"/>
    <hyperlink ref="U77" r:id="rId252" xr:uid="{154FC78A-A346-497B-AC73-58D789A60D1E}"/>
    <hyperlink ref="T77" r:id="rId253" xr:uid="{AADB9DA3-3766-4976-8949-A97C245822BE}"/>
    <hyperlink ref="T78" r:id="rId254" xr:uid="{8006EE3A-402A-4D7E-A9A8-339DEC123167}"/>
    <hyperlink ref="U78" r:id="rId255" xr:uid="{2EBCB15C-F951-4102-82CC-04255032622E}"/>
    <hyperlink ref="U79" r:id="rId256" xr:uid="{E756E0FC-E361-4317-BFA8-D8543A9EA666}"/>
    <hyperlink ref="T79" r:id="rId257" xr:uid="{21EF378F-DC94-4746-82A8-02CE2039A320}"/>
    <hyperlink ref="U80" r:id="rId258" xr:uid="{F1A22E7D-C139-4F31-AFAE-F579078CF9B2}"/>
    <hyperlink ref="T80" r:id="rId259" xr:uid="{BABA456B-9AE7-4E60-A7BF-6E13245FB6B0}"/>
    <hyperlink ref="T81" r:id="rId260" xr:uid="{11AE9FDA-AE4E-417A-A8D3-63750C63A34D}"/>
    <hyperlink ref="U81" r:id="rId261" xr:uid="{DF27C007-329D-4361-BFC1-68C0D64B0DE5}"/>
    <hyperlink ref="T82" r:id="rId262" xr:uid="{BD5FC08D-2EDD-4710-BB0E-307872EFF5F9}"/>
    <hyperlink ref="U82" r:id="rId263" xr:uid="{CE798391-CFC8-452A-B60E-FB6EEC40DE87}"/>
    <hyperlink ref="T83" r:id="rId264" xr:uid="{1330828C-AA8A-4661-80C9-F8F06D40149F}"/>
    <hyperlink ref="U83" r:id="rId265" xr:uid="{DCBE7FF7-5EE7-4146-B668-37CB86D1D405}"/>
    <hyperlink ref="T84" r:id="rId266" xr:uid="{AA978FAF-6154-4008-ADF4-2567773FAF36}"/>
    <hyperlink ref="U84" r:id="rId267" xr:uid="{C1F73E2E-A7E0-4356-A209-1E30A492D4F2}"/>
    <hyperlink ref="T85" r:id="rId268" xr:uid="{9BA9BBCF-F783-48C1-9631-C45E6524EB79}"/>
    <hyperlink ref="U85" r:id="rId269" xr:uid="{0FBD6F8E-290C-4279-9BA1-B1E74708681E}"/>
    <hyperlink ref="T86" r:id="rId270" xr:uid="{3C7AC63C-38AC-441A-B0C1-D4BD78A4C5F5}"/>
    <hyperlink ref="U86" r:id="rId271" xr:uid="{6B0F47A4-7209-4514-A47F-ADBAEB2A99E4}"/>
    <hyperlink ref="T87" r:id="rId272" xr:uid="{3607FB7B-A8CA-46B3-AF22-BB588671514C}"/>
    <hyperlink ref="U87" r:id="rId273" xr:uid="{9274858A-9D19-49C1-973E-EEE2F4920809}"/>
    <hyperlink ref="U88" r:id="rId274" xr:uid="{F9FA76BC-2423-4AFE-A3BC-1CB0D8246B8A}"/>
    <hyperlink ref="T88" r:id="rId275" xr:uid="{CB8CFB61-5D12-440F-AA88-C2A204EDF8AB}"/>
    <hyperlink ref="T90" r:id="rId276" xr:uid="{A6D1CFDB-579A-4F94-A5D3-2193973048A1}"/>
    <hyperlink ref="U90" r:id="rId277" xr:uid="{8EF1D2B7-5455-4235-98D1-39BB047DF3D7}"/>
    <hyperlink ref="T91" r:id="rId278" xr:uid="{5ED64715-DC9E-4DF7-AD02-5B1610406DB6}"/>
    <hyperlink ref="T92" r:id="rId279" xr:uid="{DA4FE52D-B90B-4096-9122-9BB8C23D9A82}"/>
    <hyperlink ref="U93" r:id="rId280" xr:uid="{59C165F6-763C-4F97-8904-30EC7D457FBE}"/>
    <hyperlink ref="T93" r:id="rId281" xr:uid="{4496DAD8-647C-4F78-9D86-CB1F7069462F}"/>
    <hyperlink ref="T94" r:id="rId282" xr:uid="{D9863CF6-4A38-414D-B689-4D12C8C4EBC4}"/>
    <hyperlink ref="T95" r:id="rId283" xr:uid="{00CE9655-D453-45CC-BE5C-FDDBF023615B}"/>
    <hyperlink ref="T96" r:id="rId284" xr:uid="{1A428DF5-80CC-4D42-ADFA-C881CABFC0C7}"/>
    <hyperlink ref="U96" r:id="rId285" xr:uid="{11BC137A-3B95-4A04-BC4D-BCB9C8CE436F}"/>
    <hyperlink ref="T97" r:id="rId286" xr:uid="{99030E0A-79D1-4723-8866-3217991C7C5E}"/>
    <hyperlink ref="U104" r:id="rId287" xr:uid="{C12BE06A-FBE9-492E-B4C4-EE0043929F40}"/>
    <hyperlink ref="T104" r:id="rId288" xr:uid="{E480EEE4-D690-494C-B488-6207CCF28D7B}"/>
    <hyperlink ref="T189" r:id="rId289" xr:uid="{390D57EB-7CE7-4C4E-A459-61E9A0044E3F}"/>
    <hyperlink ref="T190" r:id="rId290" xr:uid="{85E58C9F-7551-4E1C-BCE5-5E7B20FE3879}"/>
    <hyperlink ref="T191" r:id="rId291" xr:uid="{310FE398-EFE8-4937-BAC4-F837EB3FBBA8}"/>
    <hyperlink ref="U191" r:id="rId292" xr:uid="{00FC0CF5-495E-48D0-A7E7-409EC5CEB45A}"/>
    <hyperlink ref="U192" r:id="rId293" xr:uid="{D4D7432D-CB46-4CB0-A8A0-C19559CD6E9B}"/>
    <hyperlink ref="T192" r:id="rId294" xr:uid="{E9E16F03-5823-45FD-9926-C4BC8CCF8D5F}"/>
    <hyperlink ref="T179" r:id="rId295" xr:uid="{BCA84A11-76F0-46F8-A144-921A1D762317}"/>
    <hyperlink ref="U179" r:id="rId296" xr:uid="{05891EB3-204A-4E0A-A489-2A9D91FC267B}"/>
    <hyperlink ref="T186" r:id="rId297" xr:uid="{FB2D3A74-387E-42D0-AE01-A83EFF05B405}"/>
    <hyperlink ref="T193" r:id="rId298" xr:uid="{CF1B0CB3-B667-4F30-AF9E-6FCB742CBC03}"/>
    <hyperlink ref="U193" r:id="rId299" xr:uid="{3B97CB9B-251C-425D-AEA4-7BD14BAF4BE8}"/>
    <hyperlink ref="T194" r:id="rId300" xr:uid="{3E08D0C4-4D49-4B96-92FD-3A351826EB4C}"/>
    <hyperlink ref="U194" r:id="rId301" xr:uid="{CC939198-568F-4484-A95B-D8FAAD95670F}"/>
    <hyperlink ref="T195" r:id="rId302" xr:uid="{BA63D862-2BE4-4846-A58C-1E5C800F380F}"/>
    <hyperlink ref="U195" r:id="rId303" xr:uid="{F9A10BBF-D6C6-4A54-BE8C-39480601A336}"/>
    <hyperlink ref="U196" r:id="rId304" xr:uid="{D17122F4-328B-4EB1-B238-A158CDC74028}"/>
    <hyperlink ref="T197" r:id="rId305" xr:uid="{620BD19A-DE75-419B-BBAA-2FE4244CEFD4}"/>
    <hyperlink ref="U197" r:id="rId306" xr:uid="{466576FD-AB25-4B60-9477-E4FBF7C96E44}"/>
    <hyperlink ref="U198" r:id="rId307" xr:uid="{882E4FF6-4178-4610-8AF9-A34703630EE3}"/>
    <hyperlink ref="T200" r:id="rId308" xr:uid="{93F557E9-653B-42E2-8C10-8AB2CBAB83F9}"/>
    <hyperlink ref="U200" r:id="rId309" xr:uid="{FDBBCB6B-63FA-4253-AF4F-68304D0C80D9}"/>
    <hyperlink ref="T201" r:id="rId310" xr:uid="{46A3DEF7-42DD-4E57-BABE-6A6A9B02264E}"/>
    <hyperlink ref="T16" r:id="rId311" xr:uid="{28165FEF-676F-413F-A21C-7BA4CA486C40}"/>
    <hyperlink ref="T28" r:id="rId312" xr:uid="{03DB176D-55F0-4CDF-9640-DDFC5531A0C4}"/>
    <hyperlink ref="T15" r:id="rId313" xr:uid="{965B0EB8-7DA0-4ABC-8FD9-00E4D819C2C0}"/>
    <hyperlink ref="T105" r:id="rId314" xr:uid="{084DC66F-26CB-4510-AF6B-200DE64B0F70}"/>
    <hyperlink ref="T206" r:id="rId315" xr:uid="{4749D31F-8BE4-4545-ADB8-71B019F10150}"/>
    <hyperlink ref="U206" r:id="rId316" xr:uid="{D69AB97A-97F8-4A18-B48F-7293E5D129E0}"/>
    <hyperlink ref="T203" r:id="rId317" xr:uid="{76FEFF55-23DB-4FBC-851B-010F2127833D}"/>
  </hyperlinks>
  <printOptions horizontalCentered="1" verticalCentered="1"/>
  <pageMargins left="0.70866141732283472" right="0.70866141732283472" top="0.74803149606299213" bottom="0.74803149606299213" header="0.31496062992125984" footer="0.31496062992125984"/>
  <pageSetup paperSize="9" scale="16" fitToWidth="2" fitToHeight="2" orientation="portrait" r:id="rId3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EBEE9-BCF3-4022-B492-612D4DB28A16}">
  <sheetPr filterMode="1">
    <tabColor theme="5" tint="0.39997558519241921"/>
  </sheetPr>
  <dimension ref="A1:AQ214"/>
  <sheetViews>
    <sheetView zoomScale="73" zoomScaleNormal="87" workbookViewId="0">
      <selection activeCell="D8" sqref="D8"/>
    </sheetView>
  </sheetViews>
  <sheetFormatPr defaultRowHeight="14.5" x14ac:dyDescent="0.35"/>
  <cols>
    <col min="1" max="1" width="8.7265625" style="102"/>
    <col min="2" max="2" width="37.81640625" customWidth="1"/>
    <col min="3" max="3" width="20.1796875" customWidth="1"/>
    <col min="4" max="6" width="8.7265625" customWidth="1"/>
    <col min="7" max="7" width="13.1796875" customWidth="1"/>
    <col min="8" max="8" width="17.453125" customWidth="1"/>
    <col min="9" max="9" width="13.1796875" customWidth="1"/>
    <col min="10" max="10" width="8.7265625" style="11" customWidth="1"/>
    <col min="11" max="11" width="12.1796875" customWidth="1"/>
    <col min="12" max="12" width="20.1796875" customWidth="1"/>
    <col min="13" max="13" width="20.54296875" customWidth="1"/>
    <col min="14" max="14" width="29.54296875" customWidth="1"/>
    <col min="15" max="15" width="8.7265625" style="11" customWidth="1"/>
    <col min="16" max="16" width="11.1796875" customWidth="1"/>
    <col min="17" max="17" width="12.1796875" customWidth="1"/>
    <col min="18" max="18" width="19" customWidth="1"/>
    <col min="19" max="19" width="15.26953125" customWidth="1"/>
    <col min="20" max="20" width="17" customWidth="1"/>
    <col min="21" max="21" width="12.54296875" customWidth="1"/>
    <col min="22" max="22" width="8.7265625" customWidth="1"/>
    <col min="23" max="23" width="21.81640625" customWidth="1"/>
    <col min="24" max="24" width="20.26953125" customWidth="1"/>
    <col min="25" max="25" width="19.7265625" customWidth="1"/>
    <col min="26" max="26" width="22.54296875" customWidth="1"/>
    <col min="27" max="27" width="8.7265625" customWidth="1"/>
    <col min="28" max="28" width="19.453125" style="338" customWidth="1"/>
    <col min="29" max="29" width="23" style="11" customWidth="1"/>
    <col min="33" max="33" width="11.08984375" customWidth="1"/>
    <col min="34" max="34" width="33" customWidth="1"/>
    <col min="40" max="40" width="16.26953125" customWidth="1"/>
  </cols>
  <sheetData>
    <row r="1" spans="1:43" ht="32.5" customHeight="1" x14ac:dyDescent="0.35">
      <c r="A1" s="479"/>
      <c r="B1" s="414"/>
      <c r="C1" s="166" t="s">
        <v>3109</v>
      </c>
      <c r="D1" s="481" t="s">
        <v>3278</v>
      </c>
      <c r="E1" s="482"/>
      <c r="F1" s="482"/>
      <c r="G1" s="482"/>
      <c r="H1" s="482"/>
      <c r="I1" s="482"/>
      <c r="J1" s="483"/>
      <c r="K1" s="484" t="s">
        <v>3375</v>
      </c>
      <c r="L1" s="485"/>
      <c r="M1" s="485"/>
      <c r="N1" s="485"/>
      <c r="O1" s="486"/>
      <c r="P1" s="491" t="s">
        <v>3279</v>
      </c>
      <c r="Q1" s="492"/>
      <c r="R1" s="492"/>
      <c r="S1" s="492"/>
      <c r="T1" s="492"/>
      <c r="U1" s="492"/>
      <c r="V1" s="493"/>
      <c r="W1" s="498" t="s">
        <v>3280</v>
      </c>
      <c r="X1" s="499"/>
      <c r="Y1" s="499"/>
      <c r="Z1" s="499"/>
      <c r="AA1" s="500"/>
      <c r="AB1" s="410" t="s">
        <v>3160</v>
      </c>
      <c r="AC1" s="407" t="s">
        <v>3177</v>
      </c>
    </row>
    <row r="2" spans="1:43" ht="23.15" customHeight="1" x14ac:dyDescent="0.35">
      <c r="A2" s="479"/>
      <c r="B2" s="414"/>
      <c r="C2" s="166" t="s">
        <v>3113</v>
      </c>
      <c r="D2" s="219" t="s">
        <v>3114</v>
      </c>
      <c r="E2" s="220" t="s">
        <v>3115</v>
      </c>
      <c r="F2" s="220" t="s">
        <v>3116</v>
      </c>
      <c r="G2" s="220" t="s">
        <v>3117</v>
      </c>
      <c r="H2" s="220" t="s">
        <v>3118</v>
      </c>
      <c r="I2" s="221" t="s">
        <v>3161</v>
      </c>
      <c r="J2" s="487" t="s">
        <v>3162</v>
      </c>
      <c r="K2" s="222" t="s">
        <v>501</v>
      </c>
      <c r="L2" s="223" t="s">
        <v>3119</v>
      </c>
      <c r="M2" s="223" t="s">
        <v>3120</v>
      </c>
      <c r="N2" s="223" t="s">
        <v>3121</v>
      </c>
      <c r="O2" s="489" t="s">
        <v>3162</v>
      </c>
      <c r="P2" s="224" t="s">
        <v>3122</v>
      </c>
      <c r="Q2" s="224" t="s">
        <v>3123</v>
      </c>
      <c r="R2" s="224" t="s">
        <v>3124</v>
      </c>
      <c r="S2" s="224" t="s">
        <v>3125</v>
      </c>
      <c r="T2" s="224" t="s">
        <v>3126</v>
      </c>
      <c r="U2" s="224" t="s">
        <v>3127</v>
      </c>
      <c r="V2" s="494" t="s">
        <v>3163</v>
      </c>
      <c r="W2" s="225" t="s">
        <v>3128</v>
      </c>
      <c r="X2" s="225" t="s">
        <v>3129</v>
      </c>
      <c r="Y2" s="225" t="s">
        <v>3130</v>
      </c>
      <c r="Z2" s="225" t="s">
        <v>3131</v>
      </c>
      <c r="AA2" s="496" t="s">
        <v>3162</v>
      </c>
      <c r="AB2" s="411"/>
      <c r="AC2" s="408"/>
    </row>
    <row r="3" spans="1:43" ht="22.5" customHeight="1" x14ac:dyDescent="0.35">
      <c r="A3" s="480"/>
      <c r="B3" s="415"/>
      <c r="C3" s="189" t="s">
        <v>3164</v>
      </c>
      <c r="D3" s="97">
        <v>1</v>
      </c>
      <c r="E3" s="22">
        <v>1</v>
      </c>
      <c r="F3" s="22">
        <v>0.5</v>
      </c>
      <c r="G3" s="22">
        <v>1</v>
      </c>
      <c r="H3" s="22">
        <v>1</v>
      </c>
      <c r="I3" s="165">
        <v>1.5</v>
      </c>
      <c r="J3" s="488"/>
      <c r="K3" s="97">
        <v>1.5</v>
      </c>
      <c r="L3" s="22">
        <v>1</v>
      </c>
      <c r="M3" s="22">
        <v>1</v>
      </c>
      <c r="N3" s="22">
        <v>1</v>
      </c>
      <c r="O3" s="490"/>
      <c r="P3" s="22">
        <v>1</v>
      </c>
      <c r="Q3" s="22">
        <v>0.5</v>
      </c>
      <c r="R3" s="22">
        <v>1.5</v>
      </c>
      <c r="S3" s="22">
        <v>1</v>
      </c>
      <c r="T3" s="22">
        <v>1</v>
      </c>
      <c r="U3" s="22">
        <v>1</v>
      </c>
      <c r="V3" s="495"/>
      <c r="W3" s="22">
        <v>2.5</v>
      </c>
      <c r="X3" s="22">
        <v>1.5</v>
      </c>
      <c r="Y3" s="22">
        <v>1.5</v>
      </c>
      <c r="Z3" s="22">
        <v>0.5</v>
      </c>
      <c r="AA3" s="497"/>
      <c r="AB3" s="411"/>
      <c r="AC3" s="408"/>
      <c r="AG3" s="477" t="s">
        <v>111</v>
      </c>
      <c r="AH3" s="478"/>
      <c r="AI3" s="478"/>
      <c r="AJ3" s="478"/>
      <c r="AK3" s="478"/>
      <c r="AL3" s="478"/>
      <c r="AM3" s="478"/>
      <c r="AN3" s="478"/>
      <c r="AO3" s="273"/>
      <c r="AP3" s="274"/>
      <c r="AQ3" s="274"/>
    </row>
    <row r="4" spans="1:43" ht="28" customHeight="1" x14ac:dyDescent="0.35">
      <c r="A4" s="190" t="s">
        <v>34</v>
      </c>
      <c r="B4" s="191" t="s">
        <v>3310</v>
      </c>
      <c r="C4" s="179" t="s">
        <v>3166</v>
      </c>
      <c r="D4" s="199" t="s">
        <v>3133</v>
      </c>
      <c r="E4" s="200" t="s">
        <v>3134</v>
      </c>
      <c r="F4" s="200" t="s">
        <v>3135</v>
      </c>
      <c r="G4" s="200" t="s">
        <v>3136</v>
      </c>
      <c r="H4" s="200" t="s">
        <v>3137</v>
      </c>
      <c r="I4" s="200" t="s">
        <v>3138</v>
      </c>
      <c r="J4" s="200" t="s">
        <v>3167</v>
      </c>
      <c r="K4" s="200" t="s">
        <v>3139</v>
      </c>
      <c r="L4" s="200" t="s">
        <v>3140</v>
      </c>
      <c r="M4" s="200" t="s">
        <v>3141</v>
      </c>
      <c r="N4" s="200" t="s">
        <v>3142</v>
      </c>
      <c r="O4" s="200" t="s">
        <v>3168</v>
      </c>
      <c r="P4" s="200" t="s">
        <v>3143</v>
      </c>
      <c r="Q4" s="200" t="s">
        <v>3144</v>
      </c>
      <c r="R4" s="200" t="s">
        <v>3145</v>
      </c>
      <c r="S4" s="200" t="s">
        <v>3146</v>
      </c>
      <c r="T4" s="200" t="s">
        <v>3147</v>
      </c>
      <c r="U4" s="200"/>
      <c r="V4" s="200" t="s">
        <v>3169</v>
      </c>
      <c r="W4" s="200" t="s">
        <v>3148</v>
      </c>
      <c r="X4" s="200" t="s">
        <v>3149</v>
      </c>
      <c r="Y4" s="200" t="s">
        <v>3150</v>
      </c>
      <c r="Z4" s="200" t="s">
        <v>3151</v>
      </c>
      <c r="AA4" s="201" t="s">
        <v>3170</v>
      </c>
      <c r="AB4" s="412"/>
      <c r="AC4" s="409"/>
      <c r="AD4" s="254"/>
      <c r="AG4" s="366"/>
      <c r="AH4" s="501" t="s">
        <v>3171</v>
      </c>
      <c r="AI4" s="502"/>
      <c r="AJ4" s="502"/>
      <c r="AK4" s="502"/>
      <c r="AL4" s="502"/>
      <c r="AM4" s="502"/>
      <c r="AN4" s="503"/>
      <c r="AO4" s="31"/>
    </row>
    <row r="5" spans="1:43" ht="16" hidden="1" x14ac:dyDescent="0.35">
      <c r="A5" s="102">
        <f>_xlfn.XLOOKUP(B5, 'Open Source Tools'!$E$3:$E$206, 'Open Source Tools'!$A$3:$A$206, "Not found")</f>
        <v>24</v>
      </c>
      <c r="B5" s="9" t="s">
        <v>804</v>
      </c>
      <c r="C5" t="str">
        <f>INDEX('Open Source Tools'!D:D, MATCH(B5, 'Open Source Tools'!E:E, 0))</f>
        <v>Blockchain Technology (or DLT)</v>
      </c>
      <c r="D5">
        <v>5</v>
      </c>
      <c r="E5">
        <v>4</v>
      </c>
      <c r="F5">
        <v>5</v>
      </c>
      <c r="G5">
        <v>4</v>
      </c>
      <c r="H5">
        <v>5</v>
      </c>
      <c r="I5">
        <v>5</v>
      </c>
      <c r="J5" s="187">
        <v>4.666666666666667</v>
      </c>
      <c r="K5">
        <v>5</v>
      </c>
      <c r="L5">
        <v>5</v>
      </c>
      <c r="M5">
        <v>5</v>
      </c>
      <c r="N5">
        <v>5</v>
      </c>
      <c r="O5" s="187">
        <v>5</v>
      </c>
      <c r="P5">
        <v>4</v>
      </c>
      <c r="Q5">
        <v>2</v>
      </c>
      <c r="R5">
        <v>4</v>
      </c>
      <c r="S5">
        <v>5</v>
      </c>
      <c r="T5">
        <v>5</v>
      </c>
      <c r="U5">
        <v>4</v>
      </c>
      <c r="V5" s="188">
        <v>4.166666666666667</v>
      </c>
      <c r="W5">
        <v>5</v>
      </c>
      <c r="X5">
        <v>5</v>
      </c>
      <c r="Y5">
        <v>5</v>
      </c>
      <c r="Z5">
        <v>4</v>
      </c>
      <c r="AA5" s="188">
        <v>4.916666666666667</v>
      </c>
      <c r="AB5" s="337">
        <v>4.7833333333333332</v>
      </c>
      <c r="AC5" s="255">
        <v>9</v>
      </c>
    </row>
    <row r="6" spans="1:43" ht="16" x14ac:dyDescent="0.35">
      <c r="A6" s="102">
        <f>_xlfn.XLOOKUP(B6, 'Open Source Tools'!$E$3:$E$206, 'Open Source Tools'!$A$3:$A$206, "Not found")</f>
        <v>36</v>
      </c>
      <c r="B6" s="9" t="s">
        <v>958</v>
      </c>
      <c r="C6" t="str">
        <f>INDEX('Open Source Tools'!D:D, MATCH(B6, 'Open Source Tools'!E:E, 0))</f>
        <v>Mobile Apps</v>
      </c>
      <c r="D6">
        <v>5</v>
      </c>
      <c r="E6">
        <v>5</v>
      </c>
      <c r="F6">
        <v>5</v>
      </c>
      <c r="G6">
        <v>5</v>
      </c>
      <c r="H6">
        <v>5</v>
      </c>
      <c r="I6">
        <v>4</v>
      </c>
      <c r="J6" s="187">
        <v>4.75</v>
      </c>
      <c r="K6">
        <v>5</v>
      </c>
      <c r="L6">
        <v>3</v>
      </c>
      <c r="M6">
        <v>5</v>
      </c>
      <c r="N6">
        <v>5</v>
      </c>
      <c r="O6" s="187">
        <v>4.5555555555555554</v>
      </c>
      <c r="P6">
        <v>3</v>
      </c>
      <c r="Q6">
        <v>5</v>
      </c>
      <c r="R6">
        <v>5</v>
      </c>
      <c r="S6">
        <v>5</v>
      </c>
      <c r="T6">
        <v>5</v>
      </c>
      <c r="U6">
        <v>5</v>
      </c>
      <c r="V6" s="188">
        <v>4.666666666666667</v>
      </c>
      <c r="W6">
        <v>5</v>
      </c>
      <c r="X6">
        <v>5</v>
      </c>
      <c r="Y6">
        <v>5</v>
      </c>
      <c r="Z6">
        <v>4</v>
      </c>
      <c r="AA6" s="188">
        <v>4.916666666666667</v>
      </c>
      <c r="AB6" s="337">
        <v>4.781944444444445</v>
      </c>
      <c r="AC6" s="256">
        <v>9</v>
      </c>
    </row>
    <row r="7" spans="1:43" ht="16" hidden="1" x14ac:dyDescent="0.35">
      <c r="A7" s="102">
        <f>_xlfn.XLOOKUP(B7, 'Open Source Tools'!$E$3:$E$206, 'Open Source Tools'!$A$3:$A$206, "Not found")</f>
        <v>44</v>
      </c>
      <c r="B7" s="9" t="s">
        <v>1065</v>
      </c>
      <c r="C7" t="str">
        <f>INDEX('Open Source Tools'!D:D, MATCH(B7, 'Open Source Tools'!E:E, 0))</f>
        <v>Cybersecurity Tools for Energy Systems</v>
      </c>
      <c r="D7">
        <v>4</v>
      </c>
      <c r="E7">
        <v>4</v>
      </c>
      <c r="F7">
        <v>4</v>
      </c>
      <c r="G7">
        <v>4</v>
      </c>
      <c r="H7">
        <v>4</v>
      </c>
      <c r="I7">
        <v>4</v>
      </c>
      <c r="J7" s="187">
        <v>4</v>
      </c>
      <c r="K7">
        <v>5</v>
      </c>
      <c r="L7">
        <v>2</v>
      </c>
      <c r="M7">
        <v>5</v>
      </c>
      <c r="N7">
        <v>5</v>
      </c>
      <c r="O7" s="187">
        <v>4.333333333333333</v>
      </c>
      <c r="P7">
        <v>4</v>
      </c>
      <c r="Q7">
        <v>3</v>
      </c>
      <c r="R7">
        <v>3</v>
      </c>
      <c r="S7">
        <v>5</v>
      </c>
      <c r="T7">
        <v>5</v>
      </c>
      <c r="U7">
        <v>5</v>
      </c>
      <c r="V7" s="188">
        <v>4.166666666666667</v>
      </c>
      <c r="W7">
        <v>5</v>
      </c>
      <c r="X7">
        <v>5</v>
      </c>
      <c r="Y7">
        <v>5</v>
      </c>
      <c r="Z7">
        <v>4</v>
      </c>
      <c r="AA7" s="188">
        <v>4.916666666666667</v>
      </c>
      <c r="AB7" s="337">
        <v>4.5500000000000007</v>
      </c>
      <c r="AC7" s="256">
        <v>9</v>
      </c>
    </row>
    <row r="8" spans="1:43" ht="16" x14ac:dyDescent="0.35">
      <c r="A8" s="102">
        <f>_xlfn.XLOOKUP(B8, 'Open Source Tools'!$E$3:$E$206, 'Open Source Tools'!$A$3:$A$206, "Not found")</f>
        <v>53</v>
      </c>
      <c r="B8" s="9" t="s">
        <v>1177</v>
      </c>
      <c r="C8" t="str">
        <f>INDEX('Open Source Tools'!D:D, MATCH(B8, 'Open Source Tools'!E:E, 0))</f>
        <v>Machine Learning Algorithms</v>
      </c>
      <c r="D8">
        <v>5</v>
      </c>
      <c r="E8">
        <v>5</v>
      </c>
      <c r="F8">
        <v>5</v>
      </c>
      <c r="G8">
        <v>5</v>
      </c>
      <c r="H8">
        <v>5</v>
      </c>
      <c r="I8">
        <v>4</v>
      </c>
      <c r="J8" s="187">
        <v>4.75</v>
      </c>
      <c r="K8">
        <v>5</v>
      </c>
      <c r="L8">
        <v>2</v>
      </c>
      <c r="M8">
        <v>4</v>
      </c>
      <c r="N8">
        <v>5</v>
      </c>
      <c r="O8" s="187">
        <v>4.1111111111111107</v>
      </c>
      <c r="P8">
        <v>3</v>
      </c>
      <c r="Q8">
        <v>5</v>
      </c>
      <c r="R8">
        <v>4</v>
      </c>
      <c r="S8">
        <v>5</v>
      </c>
      <c r="T8">
        <v>5</v>
      </c>
      <c r="U8">
        <v>5</v>
      </c>
      <c r="V8" s="188">
        <v>4.416666666666667</v>
      </c>
      <c r="W8">
        <v>5</v>
      </c>
      <c r="X8">
        <v>5</v>
      </c>
      <c r="Y8">
        <v>5</v>
      </c>
      <c r="Z8">
        <v>5</v>
      </c>
      <c r="AA8" s="188">
        <v>5</v>
      </c>
      <c r="AB8" s="337">
        <v>4.6972222222222229</v>
      </c>
      <c r="AC8" s="256">
        <v>9</v>
      </c>
    </row>
    <row r="9" spans="1:43" ht="16" hidden="1" x14ac:dyDescent="0.35">
      <c r="A9" s="102">
        <f>_xlfn.XLOOKUP(B9, 'Open Source Tools'!$E$3:$E$206, 'Open Source Tools'!$A$3:$A$206, "Not found")</f>
        <v>67</v>
      </c>
      <c r="B9" s="9" t="s">
        <v>1337</v>
      </c>
      <c r="C9" t="str">
        <f>INDEX('Open Source Tools'!D:D, MATCH(B9, 'Open Source Tools'!E:E, 0))</f>
        <v>GIS (Geographic Information Systems)</v>
      </c>
      <c r="D9">
        <v>5</v>
      </c>
      <c r="E9">
        <v>4</v>
      </c>
      <c r="F9">
        <v>4</v>
      </c>
      <c r="G9">
        <v>5</v>
      </c>
      <c r="H9">
        <v>5</v>
      </c>
      <c r="I9">
        <v>4</v>
      </c>
      <c r="J9" s="187">
        <v>4.5</v>
      </c>
      <c r="K9">
        <v>5</v>
      </c>
      <c r="L9">
        <v>2</v>
      </c>
      <c r="M9">
        <v>4</v>
      </c>
      <c r="N9">
        <v>5</v>
      </c>
      <c r="O9" s="187">
        <v>4.1111111111111107</v>
      </c>
      <c r="P9">
        <v>5</v>
      </c>
      <c r="Q9">
        <v>5</v>
      </c>
      <c r="R9">
        <v>4</v>
      </c>
      <c r="S9">
        <v>5</v>
      </c>
      <c r="T9">
        <v>5</v>
      </c>
      <c r="U9">
        <v>5</v>
      </c>
      <c r="V9" s="188">
        <v>4.75</v>
      </c>
      <c r="W9">
        <v>5</v>
      </c>
      <c r="X9">
        <v>5</v>
      </c>
      <c r="Y9">
        <v>5</v>
      </c>
      <c r="Z9">
        <v>4</v>
      </c>
      <c r="AA9" s="188">
        <v>4.916666666666667</v>
      </c>
      <c r="AB9" s="337">
        <v>4.6680555555555561</v>
      </c>
      <c r="AC9" s="256">
        <v>9</v>
      </c>
    </row>
    <row r="10" spans="1:43" ht="16" x14ac:dyDescent="0.35">
      <c r="A10" s="102">
        <f>_xlfn.XLOOKUP(B10, 'Open Source Tools'!$E$3:$E$206, 'Open Source Tools'!$A$3:$A$206, "Not found")</f>
        <v>73</v>
      </c>
      <c r="B10" s="9" t="s">
        <v>1411</v>
      </c>
      <c r="C10" t="str">
        <f>INDEX('Open Source Tools'!D:D, MATCH(B10, 'Open Source Tools'!E:E, 0))</f>
        <v>Energy Dashboards</v>
      </c>
      <c r="D10">
        <v>5</v>
      </c>
      <c r="E10">
        <v>4</v>
      </c>
      <c r="F10">
        <v>4</v>
      </c>
      <c r="G10">
        <v>4</v>
      </c>
      <c r="H10">
        <v>4</v>
      </c>
      <c r="I10">
        <v>4</v>
      </c>
      <c r="J10" s="187">
        <v>4.166666666666667</v>
      </c>
      <c r="K10">
        <v>5</v>
      </c>
      <c r="L10">
        <v>2</v>
      </c>
      <c r="M10">
        <v>5</v>
      </c>
      <c r="N10">
        <v>5</v>
      </c>
      <c r="O10" s="187">
        <v>4.333333333333333</v>
      </c>
      <c r="P10">
        <v>4</v>
      </c>
      <c r="Q10">
        <v>4</v>
      </c>
      <c r="R10">
        <v>5</v>
      </c>
      <c r="S10">
        <v>5</v>
      </c>
      <c r="T10">
        <v>5</v>
      </c>
      <c r="U10">
        <v>5</v>
      </c>
      <c r="V10" s="188">
        <v>4.75</v>
      </c>
      <c r="W10">
        <v>5</v>
      </c>
      <c r="X10">
        <v>5</v>
      </c>
      <c r="Y10">
        <v>5</v>
      </c>
      <c r="Z10">
        <v>4</v>
      </c>
      <c r="AA10" s="188">
        <v>4.916666666666667</v>
      </c>
      <c r="AB10" s="337">
        <v>4.6624999999999996</v>
      </c>
      <c r="AC10" s="256">
        <v>9</v>
      </c>
    </row>
    <row r="11" spans="1:43" ht="16" x14ac:dyDescent="0.35">
      <c r="A11" s="102">
        <f>_xlfn.XLOOKUP(B11, 'Open Source Tools'!$E$3:$E$206, 'Open Source Tools'!$A$3:$A$206, "Not found")</f>
        <v>74</v>
      </c>
      <c r="B11" s="9" t="s">
        <v>1423</v>
      </c>
      <c r="C11" t="str">
        <f>INDEX('Open Source Tools'!D:D, MATCH(B11, 'Open Source Tools'!E:E, 0))</f>
        <v>Data Visualization Tools</v>
      </c>
      <c r="D11">
        <v>5</v>
      </c>
      <c r="E11">
        <v>5</v>
      </c>
      <c r="F11">
        <v>5</v>
      </c>
      <c r="G11">
        <v>5</v>
      </c>
      <c r="H11">
        <v>5</v>
      </c>
      <c r="I11">
        <v>4</v>
      </c>
      <c r="J11" s="187">
        <v>4.75</v>
      </c>
      <c r="K11">
        <v>5</v>
      </c>
      <c r="L11">
        <v>2</v>
      </c>
      <c r="M11">
        <v>5</v>
      </c>
      <c r="N11">
        <v>5</v>
      </c>
      <c r="O11" s="187">
        <v>4.333333333333333</v>
      </c>
      <c r="P11">
        <v>4</v>
      </c>
      <c r="Q11">
        <v>5</v>
      </c>
      <c r="R11">
        <v>5</v>
      </c>
      <c r="S11">
        <v>5</v>
      </c>
      <c r="T11">
        <v>5</v>
      </c>
      <c r="U11">
        <v>5</v>
      </c>
      <c r="V11" s="188">
        <v>4.833333333333333</v>
      </c>
      <c r="W11">
        <v>5</v>
      </c>
      <c r="X11">
        <v>5</v>
      </c>
      <c r="Y11">
        <v>4</v>
      </c>
      <c r="Z11">
        <v>4</v>
      </c>
      <c r="AA11" s="188">
        <v>4.666666666666667</v>
      </c>
      <c r="AB11" s="337">
        <v>4.6375000000000002</v>
      </c>
      <c r="AC11" s="256">
        <v>9</v>
      </c>
    </row>
    <row r="12" spans="1:43" ht="16" hidden="1" x14ac:dyDescent="0.35">
      <c r="A12" s="102">
        <f>_xlfn.XLOOKUP(B12, 'Open Source Tools'!$E$3:$E$206, 'Open Source Tools'!$A$3:$A$206, "Not found")</f>
        <v>81</v>
      </c>
      <c r="B12" s="9" t="s">
        <v>1508</v>
      </c>
      <c r="C12" t="str">
        <f>INDEX('Open Source Tools'!D:D, MATCH(B12, 'Open Source Tools'!E:E, 0))</f>
        <v>Time-Series Data Analysis Tools</v>
      </c>
      <c r="D12">
        <v>5</v>
      </c>
      <c r="E12">
        <v>4</v>
      </c>
      <c r="F12">
        <v>5</v>
      </c>
      <c r="G12">
        <v>4</v>
      </c>
      <c r="H12">
        <v>5</v>
      </c>
      <c r="I12">
        <v>4</v>
      </c>
      <c r="J12" s="187">
        <v>4.416666666666667</v>
      </c>
      <c r="K12">
        <v>5</v>
      </c>
      <c r="L12">
        <v>2</v>
      </c>
      <c r="M12">
        <v>4</v>
      </c>
      <c r="N12">
        <v>5</v>
      </c>
      <c r="O12" s="187">
        <v>4.1111111111111107</v>
      </c>
      <c r="P12">
        <v>4</v>
      </c>
      <c r="Q12">
        <v>4</v>
      </c>
      <c r="R12">
        <v>4</v>
      </c>
      <c r="S12">
        <v>5</v>
      </c>
      <c r="T12">
        <v>5</v>
      </c>
      <c r="U12">
        <v>4</v>
      </c>
      <c r="V12" s="188">
        <v>4.333333333333333</v>
      </c>
      <c r="W12">
        <v>5</v>
      </c>
      <c r="X12">
        <v>5</v>
      </c>
      <c r="Y12">
        <v>5</v>
      </c>
      <c r="Z12">
        <v>3</v>
      </c>
      <c r="AA12" s="188">
        <v>4.833333333333333</v>
      </c>
      <c r="AB12" s="337">
        <v>4.5513888888888889</v>
      </c>
      <c r="AC12" s="256">
        <v>9</v>
      </c>
    </row>
    <row r="13" spans="1:43" ht="16" hidden="1" x14ac:dyDescent="0.35">
      <c r="A13" s="102">
        <f>_xlfn.XLOOKUP(B13, 'Open Source Tools'!$E$3:$E$206, 'Open Source Tools'!$A$3:$A$206, "Not found")</f>
        <v>82</v>
      </c>
      <c r="B13" s="9" t="s">
        <v>1520</v>
      </c>
      <c r="C13" t="str">
        <f>INDEX('Open Source Tools'!D:D, MATCH(B13, 'Open Source Tools'!E:E, 0))</f>
        <v>Time-Series Data Analysis Tools</v>
      </c>
      <c r="D13">
        <v>5</v>
      </c>
      <c r="E13">
        <v>4</v>
      </c>
      <c r="F13">
        <v>5</v>
      </c>
      <c r="G13">
        <v>5</v>
      </c>
      <c r="H13">
        <v>5</v>
      </c>
      <c r="I13">
        <v>4</v>
      </c>
      <c r="J13" s="187">
        <v>4.583333333333333</v>
      </c>
      <c r="K13">
        <v>5</v>
      </c>
      <c r="L13">
        <v>2</v>
      </c>
      <c r="M13">
        <v>4</v>
      </c>
      <c r="N13">
        <v>5</v>
      </c>
      <c r="O13" s="187">
        <v>4.1111111111111107</v>
      </c>
      <c r="P13">
        <v>5</v>
      </c>
      <c r="Q13">
        <v>5</v>
      </c>
      <c r="R13">
        <v>4</v>
      </c>
      <c r="S13">
        <v>5</v>
      </c>
      <c r="T13">
        <v>2</v>
      </c>
      <c r="U13">
        <v>5</v>
      </c>
      <c r="V13" s="188">
        <v>4.25</v>
      </c>
      <c r="W13">
        <v>5</v>
      </c>
      <c r="X13">
        <v>5</v>
      </c>
      <c r="Y13">
        <v>5</v>
      </c>
      <c r="Z13">
        <v>4</v>
      </c>
      <c r="AA13" s="188">
        <v>4.916666666666667</v>
      </c>
      <c r="AB13" s="337">
        <v>4.6055555555555561</v>
      </c>
      <c r="AC13" s="256">
        <v>9</v>
      </c>
    </row>
    <row r="14" spans="1:43" ht="16" x14ac:dyDescent="0.4">
      <c r="A14" s="102">
        <f>_xlfn.XLOOKUP(B14, 'Open Source Tools'!$E$3:$E$206, 'Open Source Tools'!$A$3:$A$206, "Not found")</f>
        <v>137</v>
      </c>
      <c r="B14" s="151" t="s">
        <v>2284</v>
      </c>
      <c r="C14" t="str">
        <f>INDEX('Open Source Tools'!D:D, MATCH(B14, 'Open Source Tools'!E:E, 0))</f>
        <v>Energy Analytics Platforms</v>
      </c>
      <c r="D14">
        <v>4</v>
      </c>
      <c r="E14">
        <v>4</v>
      </c>
      <c r="F14">
        <v>3</v>
      </c>
      <c r="G14">
        <v>4</v>
      </c>
      <c r="H14">
        <v>4</v>
      </c>
      <c r="I14">
        <v>5</v>
      </c>
      <c r="J14" s="187">
        <v>4.166666666666667</v>
      </c>
      <c r="K14">
        <v>5</v>
      </c>
      <c r="L14">
        <v>5</v>
      </c>
      <c r="M14">
        <v>4</v>
      </c>
      <c r="N14">
        <v>5</v>
      </c>
      <c r="O14" s="187">
        <v>4.7777777777777777</v>
      </c>
      <c r="P14">
        <v>5</v>
      </c>
      <c r="Q14">
        <v>3</v>
      </c>
      <c r="R14">
        <v>4</v>
      </c>
      <c r="S14">
        <v>5</v>
      </c>
      <c r="T14">
        <v>5</v>
      </c>
      <c r="U14">
        <v>3</v>
      </c>
      <c r="V14" s="188">
        <v>4.25</v>
      </c>
      <c r="W14">
        <v>5</v>
      </c>
      <c r="X14">
        <v>5</v>
      </c>
      <c r="Y14">
        <v>4</v>
      </c>
      <c r="Z14">
        <v>3</v>
      </c>
      <c r="AA14" s="188">
        <v>4.583333333333333</v>
      </c>
      <c r="AB14" s="337">
        <v>4.5097222222222229</v>
      </c>
      <c r="AC14" s="256">
        <v>9</v>
      </c>
    </row>
    <row r="15" spans="1:43" ht="16" x14ac:dyDescent="0.35">
      <c r="A15" s="102">
        <f>_xlfn.XLOOKUP(B15, 'Open Source Tools'!$E$3:$E$206, 'Open Source Tools'!$A$3:$A$206, "Not found")</f>
        <v>107</v>
      </c>
      <c r="B15" s="9" t="s">
        <v>1845</v>
      </c>
      <c r="C15" t="str">
        <f>INDEX('Open Source Tools'!D:D, MATCH(B15, 'Open Source Tools'!E:E, 0))</f>
        <v>Home Energy Management Systems (HEMS)</v>
      </c>
      <c r="D15">
        <v>3</v>
      </c>
      <c r="E15">
        <v>3</v>
      </c>
      <c r="F15">
        <v>3</v>
      </c>
      <c r="G15">
        <v>4</v>
      </c>
      <c r="H15">
        <v>3</v>
      </c>
      <c r="I15">
        <v>4</v>
      </c>
      <c r="J15" s="187">
        <v>3.4166666666666665</v>
      </c>
      <c r="K15">
        <v>5</v>
      </c>
      <c r="L15">
        <v>4</v>
      </c>
      <c r="M15">
        <v>5</v>
      </c>
      <c r="N15">
        <v>5</v>
      </c>
      <c r="O15" s="187">
        <v>4.7777777777777777</v>
      </c>
      <c r="P15">
        <v>3</v>
      </c>
      <c r="Q15">
        <v>3</v>
      </c>
      <c r="R15">
        <v>5</v>
      </c>
      <c r="S15">
        <v>5</v>
      </c>
      <c r="T15">
        <v>5</v>
      </c>
      <c r="U15">
        <v>3</v>
      </c>
      <c r="V15" s="188">
        <v>4.166666666666667</v>
      </c>
      <c r="W15">
        <v>5</v>
      </c>
      <c r="X15">
        <v>5</v>
      </c>
      <c r="Y15">
        <v>5</v>
      </c>
      <c r="Z15">
        <v>3</v>
      </c>
      <c r="AA15" s="188">
        <v>4.833333333333333</v>
      </c>
      <c r="AB15" s="337">
        <v>4.509722222222222</v>
      </c>
      <c r="AC15" s="256">
        <v>9</v>
      </c>
    </row>
    <row r="16" spans="1:43" ht="16" x14ac:dyDescent="0.4">
      <c r="A16" s="102">
        <f>_xlfn.XLOOKUP(B16, 'Open Source Tools'!$E$3:$E$206, 'Open Source Tools'!$A$3:$A$206, "Not found")</f>
        <v>191</v>
      </c>
      <c r="B16" s="151" t="s">
        <v>2978</v>
      </c>
      <c r="C16" t="str">
        <f>INDEX('Open Source Tools'!D:D, MATCH(B16, 'Open Source Tools'!E:E, 0))</f>
        <v>Weather Forecasting Tools</v>
      </c>
      <c r="D16">
        <v>3</v>
      </c>
      <c r="E16">
        <v>2</v>
      </c>
      <c r="F16">
        <v>2</v>
      </c>
      <c r="G16">
        <v>4</v>
      </c>
      <c r="H16">
        <v>3</v>
      </c>
      <c r="I16">
        <v>5</v>
      </c>
      <c r="J16" s="187">
        <v>3.4166666666666665</v>
      </c>
      <c r="K16">
        <v>5</v>
      </c>
      <c r="L16">
        <v>5</v>
      </c>
      <c r="M16">
        <v>5</v>
      </c>
      <c r="N16">
        <v>5</v>
      </c>
      <c r="O16" s="187">
        <v>5</v>
      </c>
      <c r="P16">
        <v>5</v>
      </c>
      <c r="Q16">
        <v>2</v>
      </c>
      <c r="R16">
        <v>5</v>
      </c>
      <c r="S16">
        <v>5</v>
      </c>
      <c r="T16">
        <v>5</v>
      </c>
      <c r="U16">
        <v>3</v>
      </c>
      <c r="V16" s="188">
        <v>4.416666666666667</v>
      </c>
      <c r="W16">
        <v>5</v>
      </c>
      <c r="X16">
        <v>5</v>
      </c>
      <c r="Y16">
        <v>4</v>
      </c>
      <c r="Z16">
        <v>4</v>
      </c>
      <c r="AA16" s="188">
        <v>4.666666666666667</v>
      </c>
      <c r="AB16" s="337">
        <v>4.5083333333333329</v>
      </c>
      <c r="AC16" s="256">
        <v>9</v>
      </c>
    </row>
    <row r="17" spans="1:29" ht="16" hidden="1" x14ac:dyDescent="0.35">
      <c r="A17" s="102">
        <f>_xlfn.XLOOKUP(B17, 'Open Source Tools'!$E$3:$E$206, 'Open Source Tools'!$A$3:$A$206, "Not found")</f>
        <v>1</v>
      </c>
      <c r="B17" s="9" t="s">
        <v>512</v>
      </c>
      <c r="C17" t="str">
        <f>INDEX('Open Source Tools'!D:D, MATCH(B17, 'Open Source Tools'!E:E, 0))</f>
        <v>Smart Grids</v>
      </c>
      <c r="D17">
        <v>3</v>
      </c>
      <c r="E17">
        <v>3</v>
      </c>
      <c r="F17">
        <v>2</v>
      </c>
      <c r="G17">
        <v>3</v>
      </c>
      <c r="H17">
        <v>3</v>
      </c>
      <c r="I17">
        <v>3</v>
      </c>
      <c r="J17" s="187">
        <v>2.9166666666666665</v>
      </c>
      <c r="K17">
        <v>5</v>
      </c>
      <c r="L17">
        <v>4</v>
      </c>
      <c r="M17">
        <v>5</v>
      </c>
      <c r="N17">
        <v>5</v>
      </c>
      <c r="O17" s="187">
        <v>4.7777777777777777</v>
      </c>
      <c r="P17">
        <v>3</v>
      </c>
      <c r="Q17">
        <v>3</v>
      </c>
      <c r="R17">
        <v>4</v>
      </c>
      <c r="S17">
        <v>5</v>
      </c>
      <c r="T17">
        <v>2</v>
      </c>
      <c r="U17">
        <v>3</v>
      </c>
      <c r="V17" s="188">
        <v>3.4166666666666665</v>
      </c>
      <c r="W17">
        <v>5</v>
      </c>
      <c r="X17">
        <v>5</v>
      </c>
      <c r="Y17">
        <v>3</v>
      </c>
      <c r="Z17">
        <v>4</v>
      </c>
      <c r="AA17" s="188">
        <v>4.416666666666667</v>
      </c>
      <c r="AB17" s="337">
        <v>4.1138888888888889</v>
      </c>
      <c r="AC17" s="256">
        <v>8</v>
      </c>
    </row>
    <row r="18" spans="1:29" ht="16" x14ac:dyDescent="0.35">
      <c r="A18" s="102">
        <f>_xlfn.XLOOKUP(B18, 'Open Source Tools'!$E$3:$E$206, 'Open Source Tools'!$A$3:$A$206, "Not found")</f>
        <v>76</v>
      </c>
      <c r="B18" s="9" t="s">
        <v>1447</v>
      </c>
      <c r="C18" t="str">
        <f>INDEX('Open Source Tools'!D:D, MATCH(B18, 'Open Source Tools'!E:E, 0))</f>
        <v>Data Visualization Tools</v>
      </c>
      <c r="D18">
        <v>5</v>
      </c>
      <c r="E18">
        <v>4</v>
      </c>
      <c r="F18">
        <v>4</v>
      </c>
      <c r="G18">
        <v>5</v>
      </c>
      <c r="H18">
        <v>5</v>
      </c>
      <c r="I18">
        <v>4</v>
      </c>
      <c r="J18" s="187">
        <v>4.5</v>
      </c>
      <c r="K18">
        <v>5</v>
      </c>
      <c r="L18">
        <v>2</v>
      </c>
      <c r="M18">
        <v>4</v>
      </c>
      <c r="N18">
        <v>5</v>
      </c>
      <c r="O18" s="187">
        <v>4.1111111111111107</v>
      </c>
      <c r="P18">
        <v>3</v>
      </c>
      <c r="Q18">
        <v>5</v>
      </c>
      <c r="R18">
        <v>4</v>
      </c>
      <c r="S18">
        <v>5</v>
      </c>
      <c r="T18">
        <v>5</v>
      </c>
      <c r="U18">
        <v>5</v>
      </c>
      <c r="V18" s="188">
        <v>4.416666666666667</v>
      </c>
      <c r="W18">
        <v>5</v>
      </c>
      <c r="X18">
        <v>5</v>
      </c>
      <c r="Y18">
        <v>5</v>
      </c>
      <c r="Z18">
        <v>1</v>
      </c>
      <c r="AA18" s="188">
        <v>4.666666666666667</v>
      </c>
      <c r="AB18" s="337">
        <v>4.4930555555555554</v>
      </c>
      <c r="AC18" s="256">
        <v>8</v>
      </c>
    </row>
    <row r="19" spans="1:29" ht="16" hidden="1" x14ac:dyDescent="0.35">
      <c r="A19" s="102">
        <f>_xlfn.XLOOKUP(B19, 'Open Source Tools'!$E$3:$E$206, 'Open Source Tools'!$A$3:$A$206, "Not found")</f>
        <v>12</v>
      </c>
      <c r="B19" s="9" t="s">
        <v>655</v>
      </c>
      <c r="C19" t="str">
        <f>INDEX('Open Source Tools'!D:D, MATCH(B19, 'Open Source Tools'!E:E, 0))</f>
        <v>Distribution Network Operator (DNO) Management Tools</v>
      </c>
      <c r="D19">
        <v>3</v>
      </c>
      <c r="E19">
        <v>3</v>
      </c>
      <c r="F19">
        <v>3</v>
      </c>
      <c r="G19">
        <v>4</v>
      </c>
      <c r="H19">
        <v>4</v>
      </c>
      <c r="I19">
        <v>4</v>
      </c>
      <c r="J19" s="187">
        <v>3.5833333333333335</v>
      </c>
      <c r="K19">
        <v>5</v>
      </c>
      <c r="L19">
        <v>3</v>
      </c>
      <c r="M19">
        <v>4</v>
      </c>
      <c r="N19">
        <v>5</v>
      </c>
      <c r="O19" s="187">
        <v>4.333333333333333</v>
      </c>
      <c r="P19">
        <v>2</v>
      </c>
      <c r="Q19">
        <v>3</v>
      </c>
      <c r="R19">
        <v>4</v>
      </c>
      <c r="S19">
        <v>5</v>
      </c>
      <c r="T19">
        <v>5</v>
      </c>
      <c r="U19">
        <v>4</v>
      </c>
      <c r="V19" s="188">
        <v>3.9166666666666665</v>
      </c>
      <c r="W19">
        <v>5</v>
      </c>
      <c r="X19">
        <v>5</v>
      </c>
      <c r="Y19">
        <v>3</v>
      </c>
      <c r="Z19">
        <v>4</v>
      </c>
      <c r="AA19" s="188">
        <v>4.416666666666667</v>
      </c>
      <c r="AB19" s="337">
        <v>4.2</v>
      </c>
      <c r="AC19" s="256">
        <v>8</v>
      </c>
    </row>
    <row r="20" spans="1:29" ht="16" x14ac:dyDescent="0.35">
      <c r="A20" s="102">
        <f>_xlfn.XLOOKUP(B20, 'Open Source Tools'!$E$3:$E$206, 'Open Source Tools'!$A$3:$A$206, "Not found")</f>
        <v>135</v>
      </c>
      <c r="B20" s="9" t="s">
        <v>2257</v>
      </c>
      <c r="C20" t="str">
        <f>INDEX('Open Source Tools'!D:D, MATCH(B20, 'Open Source Tools'!E:E, 0))</f>
        <v>Energy Analytics Platforms</v>
      </c>
      <c r="D20">
        <v>4</v>
      </c>
      <c r="E20">
        <v>3</v>
      </c>
      <c r="F20">
        <v>3</v>
      </c>
      <c r="G20">
        <v>4</v>
      </c>
      <c r="H20">
        <v>4</v>
      </c>
      <c r="I20">
        <v>5</v>
      </c>
      <c r="J20" s="187">
        <v>4</v>
      </c>
      <c r="K20">
        <v>3</v>
      </c>
      <c r="L20">
        <v>5</v>
      </c>
      <c r="M20">
        <v>4</v>
      </c>
      <c r="N20">
        <v>5</v>
      </c>
      <c r="O20" s="187">
        <v>4.1111111111111107</v>
      </c>
      <c r="P20">
        <v>3</v>
      </c>
      <c r="Q20">
        <v>4</v>
      </c>
      <c r="R20">
        <v>4</v>
      </c>
      <c r="S20">
        <v>5</v>
      </c>
      <c r="T20">
        <v>5</v>
      </c>
      <c r="U20">
        <v>5</v>
      </c>
      <c r="V20" s="188">
        <v>4.333333333333333</v>
      </c>
      <c r="W20">
        <v>5</v>
      </c>
      <c r="X20">
        <v>5</v>
      </c>
      <c r="Y20">
        <v>4</v>
      </c>
      <c r="Z20">
        <v>5</v>
      </c>
      <c r="AA20" s="188">
        <v>4.75</v>
      </c>
      <c r="AB20" s="337">
        <v>4.447222222222222</v>
      </c>
      <c r="AC20" s="256">
        <v>8</v>
      </c>
    </row>
    <row r="21" spans="1:29" ht="16" x14ac:dyDescent="0.35">
      <c r="A21" s="102">
        <f>_xlfn.XLOOKUP(B21, 'Open Source Tools'!$E$3:$E$206, 'Open Source Tools'!$A$3:$A$206, "Not found")</f>
        <v>78</v>
      </c>
      <c r="B21" s="9" t="s">
        <v>1471</v>
      </c>
      <c r="C21" t="str">
        <f>INDEX('Open Source Tools'!D:D, MATCH(B21, 'Open Source Tools'!E:E, 0))</f>
        <v>Data Visualization Tools</v>
      </c>
      <c r="D21">
        <v>5</v>
      </c>
      <c r="E21">
        <v>5</v>
      </c>
      <c r="F21">
        <v>5</v>
      </c>
      <c r="G21">
        <v>4</v>
      </c>
      <c r="H21">
        <v>5</v>
      </c>
      <c r="I21">
        <v>3</v>
      </c>
      <c r="J21" s="187">
        <v>4.333333333333333</v>
      </c>
      <c r="K21">
        <v>5</v>
      </c>
      <c r="L21">
        <v>4</v>
      </c>
      <c r="M21">
        <v>4</v>
      </c>
      <c r="N21">
        <v>5</v>
      </c>
      <c r="O21" s="187">
        <v>4.5555555555555554</v>
      </c>
      <c r="P21">
        <v>4</v>
      </c>
      <c r="Q21">
        <v>4</v>
      </c>
      <c r="R21">
        <v>5</v>
      </c>
      <c r="S21">
        <v>5</v>
      </c>
      <c r="T21">
        <v>5</v>
      </c>
      <c r="U21">
        <v>3</v>
      </c>
      <c r="V21" s="188">
        <v>4.416666666666667</v>
      </c>
      <c r="W21">
        <v>5</v>
      </c>
      <c r="X21">
        <v>5</v>
      </c>
      <c r="Y21">
        <v>3</v>
      </c>
      <c r="Z21">
        <v>4</v>
      </c>
      <c r="AA21" s="188">
        <v>4.416666666666667</v>
      </c>
      <c r="AB21" s="337">
        <v>4.4319444444444445</v>
      </c>
      <c r="AC21" s="256">
        <v>8</v>
      </c>
    </row>
    <row r="22" spans="1:29" ht="16" hidden="1" x14ac:dyDescent="0.35">
      <c r="A22" s="102">
        <f>_xlfn.XLOOKUP(B22, 'Open Source Tools'!$E$3:$E$206, 'Open Source Tools'!$A$3:$A$206, "Not found")</f>
        <v>17</v>
      </c>
      <c r="B22" s="9" t="s">
        <v>700</v>
      </c>
      <c r="C22" t="str">
        <f>INDEX('Open Source Tools'!D:D, MATCH(B22, 'Open Source Tools'!E:E, 0))</f>
        <v>Community Platforms</v>
      </c>
      <c r="D22">
        <v>4</v>
      </c>
      <c r="E22">
        <v>3</v>
      </c>
      <c r="F22">
        <v>3</v>
      </c>
      <c r="G22">
        <v>5</v>
      </c>
      <c r="H22">
        <v>4</v>
      </c>
      <c r="I22">
        <v>4</v>
      </c>
      <c r="J22" s="187">
        <v>3.9166666666666665</v>
      </c>
      <c r="K22">
        <v>5</v>
      </c>
      <c r="L22">
        <v>3</v>
      </c>
      <c r="M22">
        <v>4</v>
      </c>
      <c r="N22">
        <v>5</v>
      </c>
      <c r="O22" s="187">
        <v>4.333333333333333</v>
      </c>
      <c r="P22">
        <v>1</v>
      </c>
      <c r="Q22">
        <v>3</v>
      </c>
      <c r="R22">
        <v>5</v>
      </c>
      <c r="S22">
        <v>5</v>
      </c>
      <c r="T22">
        <v>5</v>
      </c>
      <c r="U22">
        <v>4</v>
      </c>
      <c r="V22" s="188">
        <v>4</v>
      </c>
      <c r="W22">
        <v>5</v>
      </c>
      <c r="X22">
        <v>5</v>
      </c>
      <c r="Y22">
        <v>4</v>
      </c>
      <c r="Z22">
        <v>4</v>
      </c>
      <c r="AA22" s="188">
        <v>4.666666666666667</v>
      </c>
      <c r="AB22" s="337">
        <v>4.3875000000000002</v>
      </c>
      <c r="AC22" s="256">
        <v>8</v>
      </c>
    </row>
    <row r="23" spans="1:29" ht="16" hidden="1" customHeight="1" x14ac:dyDescent="0.35">
      <c r="A23" s="102">
        <f>_xlfn.XLOOKUP(B23, 'Open Source Tools'!$E$3:$E$206, 'Open Source Tools'!$A$3:$A$206, "Not found")</f>
        <v>20</v>
      </c>
      <c r="B23" s="9" t="s">
        <v>747</v>
      </c>
      <c r="C23" t="str">
        <f>INDEX('Open Source Tools'!D:D, MATCH(B23, 'Open Source Tools'!E:E, 0))</f>
        <v>Community Platforms</v>
      </c>
      <c r="D23">
        <v>5</v>
      </c>
      <c r="E23">
        <v>4</v>
      </c>
      <c r="F23">
        <v>5</v>
      </c>
      <c r="G23">
        <v>5</v>
      </c>
      <c r="H23">
        <v>5</v>
      </c>
      <c r="I23">
        <v>4</v>
      </c>
      <c r="J23" s="187">
        <v>4.583333333333333</v>
      </c>
      <c r="K23">
        <v>5</v>
      </c>
      <c r="L23">
        <v>2</v>
      </c>
      <c r="M23">
        <v>4</v>
      </c>
      <c r="N23">
        <v>5</v>
      </c>
      <c r="O23" s="187">
        <v>4.1111111111111107</v>
      </c>
      <c r="P23">
        <v>3</v>
      </c>
      <c r="Q23">
        <v>1</v>
      </c>
      <c r="R23" s="241">
        <v>1</v>
      </c>
      <c r="S23">
        <v>5</v>
      </c>
      <c r="T23">
        <v>5</v>
      </c>
      <c r="U23">
        <v>5</v>
      </c>
      <c r="V23" s="188">
        <v>3.3333333333333335</v>
      </c>
      <c r="W23">
        <v>5</v>
      </c>
      <c r="X23">
        <v>5</v>
      </c>
      <c r="Y23">
        <v>3</v>
      </c>
      <c r="Z23">
        <v>3</v>
      </c>
      <c r="AA23" s="188">
        <v>4.333333333333333</v>
      </c>
      <c r="AB23" s="337">
        <v>4.1763888888888889</v>
      </c>
      <c r="AC23" s="256">
        <v>8</v>
      </c>
    </row>
    <row r="24" spans="1:29" ht="16" hidden="1" customHeight="1" x14ac:dyDescent="0.35">
      <c r="A24" s="102">
        <f>_xlfn.XLOOKUP(B24, 'Open Source Tools'!$E$3:$E$206, 'Open Source Tools'!$A$3:$A$206, "Not found")</f>
        <v>21</v>
      </c>
      <c r="B24" s="9" t="s">
        <v>762</v>
      </c>
      <c r="C24" t="str">
        <f>INDEX('Open Source Tools'!D:D, MATCH(B24, 'Open Source Tools'!E:E, 0))</f>
        <v>Community Platforms</v>
      </c>
      <c r="D24">
        <v>5</v>
      </c>
      <c r="E24">
        <v>4</v>
      </c>
      <c r="F24">
        <v>4</v>
      </c>
      <c r="G24">
        <v>5</v>
      </c>
      <c r="H24">
        <v>5</v>
      </c>
      <c r="I24">
        <v>4</v>
      </c>
      <c r="J24" s="187">
        <v>4.5</v>
      </c>
      <c r="K24">
        <v>5</v>
      </c>
      <c r="L24">
        <v>2</v>
      </c>
      <c r="M24">
        <v>4</v>
      </c>
      <c r="N24">
        <v>5</v>
      </c>
      <c r="O24" s="187">
        <v>4.1111111111111107</v>
      </c>
      <c r="P24">
        <v>3</v>
      </c>
      <c r="Q24">
        <v>4</v>
      </c>
      <c r="R24">
        <v>4</v>
      </c>
      <c r="S24">
        <v>5</v>
      </c>
      <c r="T24">
        <v>5</v>
      </c>
      <c r="U24">
        <v>4</v>
      </c>
      <c r="V24" s="188">
        <v>4.166666666666667</v>
      </c>
      <c r="W24">
        <v>5</v>
      </c>
      <c r="X24">
        <v>5</v>
      </c>
      <c r="Y24">
        <v>3</v>
      </c>
      <c r="Z24">
        <v>1</v>
      </c>
      <c r="AA24" s="188">
        <v>4.166666666666667</v>
      </c>
      <c r="AB24" s="337">
        <v>4.2055555555555557</v>
      </c>
      <c r="AC24" s="256">
        <v>8</v>
      </c>
    </row>
    <row r="25" spans="1:29" ht="16" hidden="1" x14ac:dyDescent="0.35">
      <c r="A25" s="102">
        <f>_xlfn.XLOOKUP(B25, 'Open Source Tools'!$E$3:$E$206, 'Open Source Tools'!$A$3:$A$206, "Not found")</f>
        <v>23</v>
      </c>
      <c r="B25" s="9" t="s">
        <v>790</v>
      </c>
      <c r="C25" t="str">
        <f>INDEX('Open Source Tools'!D:D, MATCH(B25, 'Open Source Tools'!E:E, 0))</f>
        <v>Blockchain Technology (or DLT)</v>
      </c>
      <c r="D25">
        <v>2</v>
      </c>
      <c r="E25">
        <v>2</v>
      </c>
      <c r="F25">
        <v>2</v>
      </c>
      <c r="G25">
        <v>4</v>
      </c>
      <c r="H25">
        <v>3</v>
      </c>
      <c r="I25">
        <v>5</v>
      </c>
      <c r="J25" s="187">
        <v>3.25</v>
      </c>
      <c r="K25">
        <v>5</v>
      </c>
      <c r="L25">
        <v>4</v>
      </c>
      <c r="M25">
        <v>5</v>
      </c>
      <c r="N25">
        <v>5</v>
      </c>
      <c r="O25" s="187">
        <v>4.7777777777777777</v>
      </c>
      <c r="P25">
        <v>3</v>
      </c>
      <c r="Q25">
        <v>3</v>
      </c>
      <c r="R25">
        <v>4</v>
      </c>
      <c r="S25">
        <v>5</v>
      </c>
      <c r="T25">
        <v>5</v>
      </c>
      <c r="U25">
        <v>4</v>
      </c>
      <c r="V25" s="188">
        <v>4.083333333333333</v>
      </c>
      <c r="W25">
        <v>5</v>
      </c>
      <c r="X25">
        <v>5</v>
      </c>
      <c r="Y25">
        <v>4</v>
      </c>
      <c r="Z25">
        <v>3</v>
      </c>
      <c r="AA25" s="188">
        <v>4.583333333333333</v>
      </c>
      <c r="AB25" s="337">
        <v>4.3472222222222214</v>
      </c>
      <c r="AC25" s="256">
        <v>8</v>
      </c>
    </row>
    <row r="26" spans="1:29" ht="16" x14ac:dyDescent="0.35">
      <c r="A26" s="102">
        <f>_xlfn.XLOOKUP(B26, 'Open Source Tools'!$E$3:$E$206, 'Open Source Tools'!$A$3:$A$206, "Not found")</f>
        <v>99</v>
      </c>
      <c r="B26" s="9" t="s">
        <v>1725</v>
      </c>
      <c r="C26" t="str">
        <f>INDEX('Open Source Tools'!D:D, MATCH(B26, 'Open Source Tools'!E:E, 0))</f>
        <v>Community level Modelling</v>
      </c>
      <c r="D26">
        <v>4</v>
      </c>
      <c r="E26">
        <v>3</v>
      </c>
      <c r="F26">
        <v>3</v>
      </c>
      <c r="G26">
        <v>3</v>
      </c>
      <c r="H26">
        <v>4</v>
      </c>
      <c r="I26">
        <v>4</v>
      </c>
      <c r="J26" s="187">
        <v>3.5833333333333335</v>
      </c>
      <c r="K26">
        <v>5</v>
      </c>
      <c r="L26">
        <v>5</v>
      </c>
      <c r="M26">
        <v>4</v>
      </c>
      <c r="N26">
        <v>5</v>
      </c>
      <c r="O26" s="187">
        <v>4.7777777777777777</v>
      </c>
      <c r="P26">
        <v>4</v>
      </c>
      <c r="Q26">
        <v>2</v>
      </c>
      <c r="R26">
        <v>4</v>
      </c>
      <c r="S26">
        <v>5</v>
      </c>
      <c r="T26">
        <v>5</v>
      </c>
      <c r="U26">
        <v>3</v>
      </c>
      <c r="V26" s="188">
        <v>4</v>
      </c>
      <c r="W26">
        <v>5</v>
      </c>
      <c r="X26">
        <v>5</v>
      </c>
      <c r="Y26">
        <v>4</v>
      </c>
      <c r="Z26">
        <v>4</v>
      </c>
      <c r="AA26" s="188">
        <v>4.666666666666667</v>
      </c>
      <c r="AB26" s="337">
        <v>4.4263888888888889</v>
      </c>
      <c r="AC26" s="256">
        <v>8</v>
      </c>
    </row>
    <row r="27" spans="1:29" ht="16" hidden="1" x14ac:dyDescent="0.35">
      <c r="A27" s="102">
        <f>_xlfn.XLOOKUP(B27, 'Open Source Tools'!$E$3:$E$206, 'Open Source Tools'!$A$3:$A$206, "Not found")</f>
        <v>29</v>
      </c>
      <c r="B27" s="9" t="s">
        <v>863</v>
      </c>
      <c r="C27" t="str">
        <f>INDEX('Open Source Tools'!D:D, MATCH(B27, 'Open Source Tools'!E:E, 0))</f>
        <v>Predictive Maintenance Software</v>
      </c>
      <c r="D27">
        <v>5</v>
      </c>
      <c r="E27">
        <v>4</v>
      </c>
      <c r="F27">
        <v>4</v>
      </c>
      <c r="G27">
        <v>5</v>
      </c>
      <c r="H27">
        <v>4</v>
      </c>
      <c r="I27">
        <v>4</v>
      </c>
      <c r="J27" s="187">
        <v>4.333333333333333</v>
      </c>
      <c r="K27">
        <v>5</v>
      </c>
      <c r="L27">
        <v>2</v>
      </c>
      <c r="M27">
        <v>5</v>
      </c>
      <c r="N27">
        <v>5</v>
      </c>
      <c r="O27" s="187">
        <v>4.333333333333333</v>
      </c>
      <c r="P27">
        <v>2</v>
      </c>
      <c r="Q27">
        <v>3</v>
      </c>
      <c r="R27">
        <v>5</v>
      </c>
      <c r="S27">
        <v>5</v>
      </c>
      <c r="T27">
        <v>5</v>
      </c>
      <c r="U27">
        <v>5</v>
      </c>
      <c r="V27" s="188">
        <v>4.333333333333333</v>
      </c>
      <c r="W27">
        <v>5</v>
      </c>
      <c r="X27">
        <v>5</v>
      </c>
      <c r="Y27">
        <v>3</v>
      </c>
      <c r="Z27">
        <v>1</v>
      </c>
      <c r="AA27" s="188">
        <v>4.166666666666667</v>
      </c>
      <c r="AB27" s="337">
        <v>4.25</v>
      </c>
      <c r="AC27" s="256">
        <v>8</v>
      </c>
    </row>
    <row r="28" spans="1:29" ht="16" hidden="1" x14ac:dyDescent="0.35">
      <c r="A28" s="102">
        <f>_xlfn.XLOOKUP(B28, 'Open Source Tools'!$E$3:$E$206, 'Open Source Tools'!$A$3:$A$206, "Not found")</f>
        <v>31</v>
      </c>
      <c r="B28" s="9" t="s">
        <v>890</v>
      </c>
      <c r="C28" t="str">
        <f>INDEX('Open Source Tools'!D:D, MATCH(B28, 'Open Source Tools'!E:E, 0))</f>
        <v>Safety Equipment</v>
      </c>
      <c r="D28">
        <v>1</v>
      </c>
      <c r="E28">
        <v>1</v>
      </c>
      <c r="F28">
        <v>1</v>
      </c>
      <c r="G28">
        <v>3</v>
      </c>
      <c r="H28">
        <v>2</v>
      </c>
      <c r="I28">
        <v>3</v>
      </c>
      <c r="J28" s="187">
        <v>2</v>
      </c>
      <c r="K28">
        <v>5</v>
      </c>
      <c r="L28">
        <v>5</v>
      </c>
      <c r="M28">
        <v>5</v>
      </c>
      <c r="N28">
        <v>5</v>
      </c>
      <c r="O28" s="187">
        <v>5</v>
      </c>
      <c r="P28">
        <v>4</v>
      </c>
      <c r="Q28">
        <v>2</v>
      </c>
      <c r="R28">
        <v>4</v>
      </c>
      <c r="S28">
        <v>5</v>
      </c>
      <c r="T28">
        <v>5</v>
      </c>
      <c r="U28">
        <v>2</v>
      </c>
      <c r="V28" s="188">
        <v>3.8333333333333335</v>
      </c>
      <c r="W28">
        <v>5</v>
      </c>
      <c r="X28">
        <v>5</v>
      </c>
      <c r="Y28">
        <v>3</v>
      </c>
      <c r="Z28">
        <v>2</v>
      </c>
      <c r="AA28" s="188">
        <v>4.25</v>
      </c>
      <c r="AB28" s="337">
        <v>4</v>
      </c>
      <c r="AC28" s="256">
        <v>8</v>
      </c>
    </row>
    <row r="29" spans="1:29" ht="16" hidden="1" x14ac:dyDescent="0.35">
      <c r="A29" s="102">
        <f>_xlfn.XLOOKUP(B29, 'Open Source Tools'!$E$3:$E$206, 'Open Source Tools'!$A$3:$A$206, "Not found")</f>
        <v>32</v>
      </c>
      <c r="B29" s="9" t="s">
        <v>904</v>
      </c>
      <c r="C29" t="str">
        <f>INDEX('Open Source Tools'!D:D, MATCH(B29, 'Open Source Tools'!E:E, 0))</f>
        <v>Remote Monitoring Tools</v>
      </c>
      <c r="D29">
        <v>3</v>
      </c>
      <c r="E29">
        <v>3</v>
      </c>
      <c r="F29">
        <v>3</v>
      </c>
      <c r="G29">
        <v>3</v>
      </c>
      <c r="H29">
        <v>3</v>
      </c>
      <c r="I29">
        <v>5</v>
      </c>
      <c r="J29" s="187">
        <v>3.5</v>
      </c>
      <c r="K29">
        <v>5</v>
      </c>
      <c r="L29">
        <v>5</v>
      </c>
      <c r="M29">
        <v>5</v>
      </c>
      <c r="N29">
        <v>5</v>
      </c>
      <c r="O29" s="187">
        <v>5</v>
      </c>
      <c r="P29">
        <v>3</v>
      </c>
      <c r="Q29">
        <v>2</v>
      </c>
      <c r="R29">
        <v>4</v>
      </c>
      <c r="S29">
        <v>5</v>
      </c>
      <c r="T29">
        <v>2</v>
      </c>
      <c r="U29">
        <v>2</v>
      </c>
      <c r="V29" s="188">
        <v>3.1666666666666665</v>
      </c>
      <c r="W29">
        <v>5</v>
      </c>
      <c r="X29">
        <v>5</v>
      </c>
      <c r="Y29">
        <v>5</v>
      </c>
      <c r="Z29">
        <v>3</v>
      </c>
      <c r="AA29" s="188">
        <v>4.833333333333333</v>
      </c>
      <c r="AB29" s="337">
        <v>4.4166666666666661</v>
      </c>
      <c r="AC29" s="256">
        <v>8</v>
      </c>
    </row>
    <row r="30" spans="1:29" ht="16" hidden="1" x14ac:dyDescent="0.35">
      <c r="A30" s="102">
        <f>_xlfn.XLOOKUP(B30, 'Open Source Tools'!$E$3:$E$206, 'Open Source Tools'!$A$3:$A$206, "Not found")</f>
        <v>34</v>
      </c>
      <c r="B30" s="9" t="s">
        <v>931</v>
      </c>
      <c r="C30" t="str">
        <f>INDEX('Open Source Tools'!D:D, MATCH(B30, 'Open Source Tools'!E:E, 0))</f>
        <v>Remote Monitoring Tools</v>
      </c>
      <c r="D30">
        <v>4</v>
      </c>
      <c r="E30">
        <v>3</v>
      </c>
      <c r="F30">
        <v>3</v>
      </c>
      <c r="G30">
        <v>4</v>
      </c>
      <c r="H30">
        <v>4</v>
      </c>
      <c r="I30">
        <v>4</v>
      </c>
      <c r="J30" s="187">
        <v>3.75</v>
      </c>
      <c r="K30">
        <v>5</v>
      </c>
      <c r="L30">
        <v>2</v>
      </c>
      <c r="M30">
        <v>5</v>
      </c>
      <c r="N30">
        <v>5</v>
      </c>
      <c r="O30" s="187">
        <v>4.333333333333333</v>
      </c>
      <c r="P30">
        <v>3</v>
      </c>
      <c r="Q30">
        <v>1</v>
      </c>
      <c r="R30">
        <v>1</v>
      </c>
      <c r="S30">
        <v>5</v>
      </c>
      <c r="T30">
        <v>5</v>
      </c>
      <c r="U30">
        <v>5</v>
      </c>
      <c r="V30" s="188">
        <v>3.3333333333333335</v>
      </c>
      <c r="W30">
        <v>5</v>
      </c>
      <c r="X30">
        <v>5</v>
      </c>
      <c r="Y30">
        <v>3</v>
      </c>
      <c r="Z30">
        <v>1</v>
      </c>
      <c r="AA30" s="188">
        <v>4.166666666666667</v>
      </c>
      <c r="AB30" s="337">
        <v>4.0125000000000002</v>
      </c>
      <c r="AC30" s="256">
        <v>8</v>
      </c>
    </row>
    <row r="31" spans="1:29" ht="16" hidden="1" x14ac:dyDescent="0.35">
      <c r="A31" s="102">
        <f>_xlfn.XLOOKUP(B31, 'Open Source Tools'!$E$3:$E$206, 'Open Source Tools'!$A$3:$A$206, "Not found")</f>
        <v>35</v>
      </c>
      <c r="B31" s="9" t="s">
        <v>943</v>
      </c>
      <c r="C31" t="str">
        <f>INDEX('Open Source Tools'!D:D, MATCH(B31, 'Open Source Tools'!E:E, 0))</f>
        <v>Remote Monitoring Tools</v>
      </c>
      <c r="D31">
        <v>5</v>
      </c>
      <c r="E31">
        <v>1</v>
      </c>
      <c r="F31">
        <v>1</v>
      </c>
      <c r="G31">
        <v>5</v>
      </c>
      <c r="H31">
        <v>5</v>
      </c>
      <c r="I31">
        <v>4</v>
      </c>
      <c r="J31" s="187">
        <v>3.75</v>
      </c>
      <c r="K31">
        <v>5</v>
      </c>
      <c r="L31">
        <v>2</v>
      </c>
      <c r="M31">
        <v>5</v>
      </c>
      <c r="N31">
        <v>5</v>
      </c>
      <c r="O31" s="187">
        <v>4.333333333333333</v>
      </c>
      <c r="P31">
        <v>3</v>
      </c>
      <c r="Q31">
        <v>4</v>
      </c>
      <c r="R31">
        <v>5</v>
      </c>
      <c r="S31">
        <v>5</v>
      </c>
      <c r="T31">
        <v>5</v>
      </c>
      <c r="U31">
        <v>5</v>
      </c>
      <c r="V31" s="188">
        <v>4.583333333333333</v>
      </c>
      <c r="W31">
        <v>5</v>
      </c>
      <c r="X31">
        <v>5</v>
      </c>
      <c r="Y31">
        <v>4</v>
      </c>
      <c r="Z31">
        <v>1</v>
      </c>
      <c r="AA31" s="188">
        <v>4.416666666666667</v>
      </c>
      <c r="AB31" s="337">
        <v>4.3250000000000002</v>
      </c>
      <c r="AC31" s="256">
        <v>8</v>
      </c>
    </row>
    <row r="32" spans="1:29" ht="16" hidden="1" customHeight="1" x14ac:dyDescent="0.35">
      <c r="A32" s="102">
        <f>_xlfn.XLOOKUP(B32, 'Open Source Tools'!$E$3:$E$206, 'Open Source Tools'!$A$3:$A$206, "Not found")</f>
        <v>37</v>
      </c>
      <c r="B32" s="9" t="s">
        <v>971</v>
      </c>
      <c r="C32" t="str">
        <f>INDEX('Open Source Tools'!D:D, MATCH(B32, 'Open Source Tools'!E:E, 0))</f>
        <v>Remote Monitoring Tools</v>
      </c>
      <c r="D32">
        <v>3</v>
      </c>
      <c r="E32">
        <v>2</v>
      </c>
      <c r="F32">
        <v>2</v>
      </c>
      <c r="G32">
        <v>3</v>
      </c>
      <c r="H32">
        <v>3</v>
      </c>
      <c r="I32">
        <v>4</v>
      </c>
      <c r="J32" s="187">
        <v>3</v>
      </c>
      <c r="K32">
        <v>5</v>
      </c>
      <c r="L32">
        <v>2</v>
      </c>
      <c r="M32">
        <v>4</v>
      </c>
      <c r="N32">
        <v>5</v>
      </c>
      <c r="O32" s="187">
        <v>4.1111111111111107</v>
      </c>
      <c r="P32">
        <v>4</v>
      </c>
      <c r="Q32">
        <v>2</v>
      </c>
      <c r="R32">
        <v>3</v>
      </c>
      <c r="S32">
        <v>5</v>
      </c>
      <c r="T32">
        <v>5</v>
      </c>
      <c r="U32">
        <v>3</v>
      </c>
      <c r="V32" s="188">
        <v>3.75</v>
      </c>
      <c r="W32">
        <v>5</v>
      </c>
      <c r="X32">
        <v>5</v>
      </c>
      <c r="Y32">
        <v>5</v>
      </c>
      <c r="Z32">
        <v>4</v>
      </c>
      <c r="AA32" s="188">
        <v>4.916666666666667</v>
      </c>
      <c r="AB32" s="337">
        <v>4.2930555555555561</v>
      </c>
      <c r="AC32" s="256">
        <v>8</v>
      </c>
    </row>
    <row r="33" spans="1:29" ht="16" hidden="1" x14ac:dyDescent="0.35">
      <c r="A33" s="102">
        <f>_xlfn.XLOOKUP(B33, 'Open Source Tools'!$E$3:$E$206, 'Open Source Tools'!$A$3:$A$206, "Not found")</f>
        <v>42</v>
      </c>
      <c r="B33" s="9" t="s">
        <v>1036</v>
      </c>
      <c r="C33" t="str">
        <f>INDEX('Open Source Tools'!D:D, MATCH(B33, 'Open Source Tools'!E:E, 0))</f>
        <v>Cybersecurity Tools for Energy Systems</v>
      </c>
      <c r="D33">
        <v>4</v>
      </c>
      <c r="E33">
        <v>3</v>
      </c>
      <c r="F33">
        <v>3</v>
      </c>
      <c r="G33">
        <v>4</v>
      </c>
      <c r="H33">
        <v>3</v>
      </c>
      <c r="I33">
        <v>4</v>
      </c>
      <c r="J33" s="187">
        <v>3.5833333333333335</v>
      </c>
      <c r="K33">
        <v>5</v>
      </c>
      <c r="L33">
        <v>2</v>
      </c>
      <c r="M33">
        <v>4</v>
      </c>
      <c r="N33">
        <v>5</v>
      </c>
      <c r="O33" s="187">
        <v>4.1111111111111107</v>
      </c>
      <c r="P33">
        <v>4</v>
      </c>
      <c r="Q33">
        <v>3</v>
      </c>
      <c r="R33">
        <v>5</v>
      </c>
      <c r="S33">
        <v>5</v>
      </c>
      <c r="T33">
        <v>5</v>
      </c>
      <c r="U33">
        <v>4</v>
      </c>
      <c r="V33" s="188">
        <v>4.5</v>
      </c>
      <c r="W33">
        <v>5</v>
      </c>
      <c r="X33">
        <v>5</v>
      </c>
      <c r="Y33">
        <v>4</v>
      </c>
      <c r="Z33">
        <v>1</v>
      </c>
      <c r="AA33" s="188">
        <v>4.416666666666667</v>
      </c>
      <c r="AB33" s="337">
        <v>4.2430555555555554</v>
      </c>
      <c r="AC33" s="256">
        <v>8</v>
      </c>
    </row>
    <row r="34" spans="1:29" ht="16" hidden="1" x14ac:dyDescent="0.35">
      <c r="A34" s="102">
        <f>_xlfn.XLOOKUP(B34, 'Open Source Tools'!$E$3:$E$206, 'Open Source Tools'!$A$3:$A$206, "Not found")</f>
        <v>43</v>
      </c>
      <c r="B34" s="9" t="s">
        <v>1051</v>
      </c>
      <c r="C34" t="str">
        <f>INDEX('Open Source Tools'!D:D, MATCH(B34, 'Open Source Tools'!E:E, 0))</f>
        <v>Cybersecurity Tools for Energy Systems</v>
      </c>
      <c r="D34">
        <v>4</v>
      </c>
      <c r="E34">
        <v>4</v>
      </c>
      <c r="F34">
        <v>4</v>
      </c>
      <c r="G34">
        <v>4</v>
      </c>
      <c r="H34">
        <v>4</v>
      </c>
      <c r="I34">
        <v>4</v>
      </c>
      <c r="J34" s="187">
        <v>4</v>
      </c>
      <c r="K34">
        <v>3</v>
      </c>
      <c r="L34">
        <v>2</v>
      </c>
      <c r="M34">
        <v>4</v>
      </c>
      <c r="N34">
        <v>5</v>
      </c>
      <c r="O34" s="187">
        <v>3.4444444444444446</v>
      </c>
      <c r="P34">
        <v>3</v>
      </c>
      <c r="Q34">
        <v>3</v>
      </c>
      <c r="R34">
        <v>4</v>
      </c>
      <c r="S34">
        <v>5</v>
      </c>
      <c r="T34">
        <v>5</v>
      </c>
      <c r="U34">
        <v>4</v>
      </c>
      <c r="V34" s="188">
        <v>4.083333333333333</v>
      </c>
      <c r="W34">
        <v>5</v>
      </c>
      <c r="X34">
        <v>5</v>
      </c>
      <c r="Y34">
        <v>5</v>
      </c>
      <c r="Z34">
        <v>1</v>
      </c>
      <c r="AA34" s="188">
        <v>4.666666666666667</v>
      </c>
      <c r="AB34" s="337">
        <v>4.2347222222222225</v>
      </c>
      <c r="AC34" s="256">
        <v>8</v>
      </c>
    </row>
    <row r="35" spans="1:29" ht="16" hidden="1" x14ac:dyDescent="0.35">
      <c r="A35" s="102">
        <f>_xlfn.XLOOKUP(B35, 'Open Source Tools'!$E$3:$E$206, 'Open Source Tools'!$A$3:$A$206, "Not found")</f>
        <v>45</v>
      </c>
      <c r="B35" s="9" t="s">
        <v>1077</v>
      </c>
      <c r="C35" t="str">
        <f>INDEX('Open Source Tools'!D:D, MATCH(B35, 'Open Source Tools'!E:E, 0))</f>
        <v>Cybersecurity Tools for Energy Systems</v>
      </c>
      <c r="D35">
        <v>4</v>
      </c>
      <c r="E35">
        <v>3</v>
      </c>
      <c r="F35">
        <v>4</v>
      </c>
      <c r="G35">
        <v>3</v>
      </c>
      <c r="H35">
        <v>3</v>
      </c>
      <c r="I35">
        <v>4</v>
      </c>
      <c r="J35" s="187">
        <v>3.5</v>
      </c>
      <c r="K35">
        <v>5</v>
      </c>
      <c r="L35">
        <v>2</v>
      </c>
      <c r="M35">
        <v>5</v>
      </c>
      <c r="N35">
        <v>5</v>
      </c>
      <c r="O35" s="187">
        <v>4.333333333333333</v>
      </c>
      <c r="P35">
        <v>4</v>
      </c>
      <c r="Q35">
        <v>3</v>
      </c>
      <c r="R35">
        <v>4</v>
      </c>
      <c r="S35">
        <v>5</v>
      </c>
      <c r="T35">
        <v>5</v>
      </c>
      <c r="U35">
        <v>3</v>
      </c>
      <c r="V35" s="188">
        <v>4.083333333333333</v>
      </c>
      <c r="W35">
        <v>5</v>
      </c>
      <c r="X35">
        <v>5</v>
      </c>
      <c r="Y35">
        <v>4</v>
      </c>
      <c r="Z35">
        <v>1</v>
      </c>
      <c r="AA35" s="188">
        <v>4.416666666666667</v>
      </c>
      <c r="AB35" s="337">
        <v>4.2125000000000004</v>
      </c>
      <c r="AC35" s="256">
        <v>8</v>
      </c>
    </row>
    <row r="36" spans="1:29" ht="16" hidden="1" x14ac:dyDescent="0.35">
      <c r="A36" s="102">
        <f>_xlfn.XLOOKUP(B36, 'Open Source Tools'!$E$3:$E$206, 'Open Source Tools'!$A$3:$A$206, "Not found")</f>
        <v>46</v>
      </c>
      <c r="B36" s="9" t="s">
        <v>1089</v>
      </c>
      <c r="C36" t="str">
        <f>INDEX('Open Source Tools'!D:D, MATCH(B36, 'Open Source Tools'!E:E, 0))</f>
        <v>Cybersecurity Tools for Energy Systems</v>
      </c>
      <c r="D36">
        <v>4</v>
      </c>
      <c r="E36">
        <v>4</v>
      </c>
      <c r="F36">
        <v>3</v>
      </c>
      <c r="G36">
        <v>4</v>
      </c>
      <c r="H36">
        <v>4</v>
      </c>
      <c r="I36">
        <v>4</v>
      </c>
      <c r="J36" s="187">
        <v>3.9166666666666665</v>
      </c>
      <c r="K36">
        <v>5</v>
      </c>
      <c r="L36">
        <v>2</v>
      </c>
      <c r="M36">
        <v>4</v>
      </c>
      <c r="N36">
        <v>5</v>
      </c>
      <c r="O36" s="187">
        <v>4.1111111111111107</v>
      </c>
      <c r="P36">
        <v>3</v>
      </c>
      <c r="Q36">
        <v>4</v>
      </c>
      <c r="R36">
        <v>4</v>
      </c>
      <c r="S36">
        <v>5</v>
      </c>
      <c r="T36">
        <v>5</v>
      </c>
      <c r="U36">
        <v>4</v>
      </c>
      <c r="V36" s="188">
        <v>4.166666666666667</v>
      </c>
      <c r="W36">
        <v>5</v>
      </c>
      <c r="X36">
        <v>5</v>
      </c>
      <c r="Y36">
        <v>4</v>
      </c>
      <c r="Z36">
        <v>4</v>
      </c>
      <c r="AA36" s="188">
        <v>4.666666666666667</v>
      </c>
      <c r="AB36" s="337">
        <v>4.3680555555555554</v>
      </c>
      <c r="AC36" s="256">
        <v>8</v>
      </c>
    </row>
    <row r="37" spans="1:29" ht="16" customHeight="1" x14ac:dyDescent="0.35">
      <c r="A37" s="102">
        <f>_xlfn.XLOOKUP(B37, 'Open Source Tools'!$E$3:$E$206, 'Open Source Tools'!$A$3:$A$206, "Not found")</f>
        <v>200</v>
      </c>
      <c r="B37" s="9" t="s">
        <v>1891</v>
      </c>
      <c r="C37" t="str">
        <f>INDEX('Open Source Tools'!D:D, MATCH(B37, 'Open Source Tools'!E:E, 0))</f>
        <v>Smart Charging Algorithms</v>
      </c>
      <c r="D37">
        <v>4</v>
      </c>
      <c r="E37">
        <v>3</v>
      </c>
      <c r="F37">
        <v>3</v>
      </c>
      <c r="G37">
        <v>4</v>
      </c>
      <c r="H37">
        <v>5</v>
      </c>
      <c r="I37">
        <v>4</v>
      </c>
      <c r="J37" s="187">
        <v>3.9166666666666665</v>
      </c>
      <c r="K37">
        <v>5</v>
      </c>
      <c r="L37">
        <v>2</v>
      </c>
      <c r="M37">
        <v>5</v>
      </c>
      <c r="N37">
        <v>5</v>
      </c>
      <c r="O37" s="187">
        <v>4.333333333333333</v>
      </c>
      <c r="P37">
        <v>4</v>
      </c>
      <c r="Q37">
        <v>4</v>
      </c>
      <c r="R37">
        <v>5</v>
      </c>
      <c r="S37">
        <v>5</v>
      </c>
      <c r="T37">
        <v>5</v>
      </c>
      <c r="U37">
        <v>4</v>
      </c>
      <c r="V37" s="188">
        <v>4.583333333333333</v>
      </c>
      <c r="W37">
        <v>5</v>
      </c>
      <c r="X37">
        <v>5</v>
      </c>
      <c r="Y37">
        <v>3</v>
      </c>
      <c r="Z37">
        <v>5</v>
      </c>
      <c r="AA37" s="188">
        <v>4.5</v>
      </c>
      <c r="AB37" s="337">
        <v>4.3916666666666666</v>
      </c>
      <c r="AC37" s="256">
        <v>8</v>
      </c>
    </row>
    <row r="38" spans="1:29" ht="16" hidden="1" customHeight="1" x14ac:dyDescent="0.35">
      <c r="A38" s="102">
        <f>_xlfn.XLOOKUP(B38, 'Open Source Tools'!$E$3:$E$206, 'Open Source Tools'!$A$3:$A$206, "Not found")</f>
        <v>64</v>
      </c>
      <c r="B38" s="9" t="s">
        <v>1304</v>
      </c>
      <c r="C38" t="str">
        <f>INDEX('Open Source Tools'!D:D, MATCH(B38, 'Open Source Tools'!E:E, 0))</f>
        <v>Big Data Platforms</v>
      </c>
      <c r="D38">
        <v>5</v>
      </c>
      <c r="E38">
        <v>5</v>
      </c>
      <c r="F38">
        <v>5</v>
      </c>
      <c r="G38">
        <v>5</v>
      </c>
      <c r="H38">
        <v>5</v>
      </c>
      <c r="I38">
        <v>4</v>
      </c>
      <c r="J38" s="187">
        <v>4.75</v>
      </c>
      <c r="K38">
        <v>5</v>
      </c>
      <c r="L38">
        <v>2</v>
      </c>
      <c r="M38">
        <v>5</v>
      </c>
      <c r="N38">
        <v>5</v>
      </c>
      <c r="O38" s="187">
        <v>4.333333333333333</v>
      </c>
      <c r="P38">
        <v>4</v>
      </c>
      <c r="Q38">
        <v>1</v>
      </c>
      <c r="R38">
        <v>1</v>
      </c>
      <c r="S38">
        <v>5</v>
      </c>
      <c r="T38">
        <v>5</v>
      </c>
      <c r="U38">
        <v>5</v>
      </c>
      <c r="V38" s="188">
        <v>3.5</v>
      </c>
      <c r="W38">
        <v>5</v>
      </c>
      <c r="X38">
        <v>5</v>
      </c>
      <c r="Y38">
        <v>4</v>
      </c>
      <c r="Z38">
        <v>3</v>
      </c>
      <c r="AA38" s="188">
        <v>4.583333333333333</v>
      </c>
      <c r="AB38" s="337">
        <v>4.395833333333333</v>
      </c>
      <c r="AC38" s="256">
        <v>8</v>
      </c>
    </row>
    <row r="39" spans="1:29" ht="16" hidden="1" x14ac:dyDescent="0.35">
      <c r="A39" s="102">
        <f>_xlfn.XLOOKUP(B39, 'Open Source Tools'!$E$3:$E$206, 'Open Source Tools'!$A$3:$A$206, "Not found")</f>
        <v>66</v>
      </c>
      <c r="B39" s="9" t="s">
        <v>1327</v>
      </c>
      <c r="C39" t="str">
        <f>INDEX('Open Source Tools'!D:D, MATCH(B39, 'Open Source Tools'!E:E, 0))</f>
        <v>Big Data Platforms</v>
      </c>
      <c r="D39">
        <v>4</v>
      </c>
      <c r="E39">
        <v>4</v>
      </c>
      <c r="F39">
        <v>3</v>
      </c>
      <c r="G39">
        <v>5</v>
      </c>
      <c r="H39">
        <v>4</v>
      </c>
      <c r="I39">
        <v>4</v>
      </c>
      <c r="J39" s="187">
        <v>4.083333333333333</v>
      </c>
      <c r="K39">
        <v>5</v>
      </c>
      <c r="L39">
        <v>2</v>
      </c>
      <c r="M39">
        <v>5</v>
      </c>
      <c r="N39">
        <v>5</v>
      </c>
      <c r="O39" s="187">
        <v>4.333333333333333</v>
      </c>
      <c r="P39">
        <v>5</v>
      </c>
      <c r="Q39">
        <v>3</v>
      </c>
      <c r="R39">
        <v>1</v>
      </c>
      <c r="S39">
        <v>5</v>
      </c>
      <c r="T39">
        <v>5</v>
      </c>
      <c r="U39">
        <v>4</v>
      </c>
      <c r="V39" s="188">
        <v>3.6666666666666665</v>
      </c>
      <c r="W39">
        <v>5</v>
      </c>
      <c r="X39">
        <v>5</v>
      </c>
      <c r="Y39">
        <v>4</v>
      </c>
      <c r="Z39">
        <v>1</v>
      </c>
      <c r="AA39" s="188">
        <v>4.416666666666667</v>
      </c>
      <c r="AB39" s="337">
        <v>4.2374999999999998</v>
      </c>
      <c r="AC39" s="256">
        <v>8</v>
      </c>
    </row>
    <row r="40" spans="1:29" ht="16" hidden="1" x14ac:dyDescent="0.35">
      <c r="A40" s="102">
        <f>_xlfn.XLOOKUP(B40, 'Open Source Tools'!$E$3:$E$206, 'Open Source Tools'!$A$3:$A$206, "Not found")</f>
        <v>70</v>
      </c>
      <c r="B40" s="9" t="s">
        <v>1374</v>
      </c>
      <c r="C40" t="str">
        <f>INDEX('Open Source Tools'!D:D, MATCH(B40, 'Open Source Tools'!E:E, 0))</f>
        <v>GIS (Geographic Information Systems)</v>
      </c>
      <c r="D40">
        <v>4</v>
      </c>
      <c r="E40">
        <v>3</v>
      </c>
      <c r="F40">
        <v>3</v>
      </c>
      <c r="G40">
        <v>4</v>
      </c>
      <c r="H40">
        <v>4</v>
      </c>
      <c r="I40">
        <v>4</v>
      </c>
      <c r="J40" s="187">
        <v>3.75</v>
      </c>
      <c r="K40">
        <v>3</v>
      </c>
      <c r="L40">
        <v>2</v>
      </c>
      <c r="M40">
        <v>4</v>
      </c>
      <c r="N40">
        <v>5</v>
      </c>
      <c r="O40" s="187">
        <v>3.4444444444444446</v>
      </c>
      <c r="P40">
        <v>5</v>
      </c>
      <c r="Q40">
        <v>4</v>
      </c>
      <c r="R40">
        <v>1</v>
      </c>
      <c r="S40">
        <v>5</v>
      </c>
      <c r="T40">
        <v>5</v>
      </c>
      <c r="U40">
        <v>4</v>
      </c>
      <c r="V40" s="188">
        <v>3.75</v>
      </c>
      <c r="W40">
        <v>5</v>
      </c>
      <c r="X40">
        <v>5</v>
      </c>
      <c r="Y40">
        <v>4</v>
      </c>
      <c r="Z40">
        <v>4</v>
      </c>
      <c r="AA40" s="188">
        <v>4.666666666666667</v>
      </c>
      <c r="AB40" s="337">
        <v>4.1472222222222221</v>
      </c>
      <c r="AC40" s="256">
        <v>8</v>
      </c>
    </row>
    <row r="41" spans="1:29" ht="16" x14ac:dyDescent="0.4">
      <c r="A41" s="102">
        <f>_xlfn.XLOOKUP(B41, 'Open Source Tools'!$E$3:$E$206, 'Open Source Tools'!$A$3:$A$206, "Not found")</f>
        <v>75</v>
      </c>
      <c r="B41" s="151" t="s">
        <v>1437</v>
      </c>
      <c r="C41" t="str">
        <f>INDEX('Open Source Tools'!D:D, MATCH(B41, 'Open Source Tools'!E:E, 0))</f>
        <v>Data Visualization Tools</v>
      </c>
      <c r="D41">
        <v>5</v>
      </c>
      <c r="E41">
        <v>5</v>
      </c>
      <c r="F41">
        <v>5</v>
      </c>
      <c r="G41">
        <v>5</v>
      </c>
      <c r="H41">
        <v>5</v>
      </c>
      <c r="I41">
        <v>4</v>
      </c>
      <c r="J41" s="187">
        <v>4.75</v>
      </c>
      <c r="K41">
        <v>5</v>
      </c>
      <c r="L41">
        <v>2</v>
      </c>
      <c r="M41">
        <v>5</v>
      </c>
      <c r="N41">
        <v>5</v>
      </c>
      <c r="O41" s="187">
        <v>4.333333333333333</v>
      </c>
      <c r="P41">
        <v>5</v>
      </c>
      <c r="Q41">
        <v>5</v>
      </c>
      <c r="R41">
        <v>5</v>
      </c>
      <c r="S41">
        <v>5</v>
      </c>
      <c r="T41">
        <v>5</v>
      </c>
      <c r="U41">
        <v>4</v>
      </c>
      <c r="V41" s="188">
        <v>4.833333333333333</v>
      </c>
      <c r="W41">
        <v>5</v>
      </c>
      <c r="X41">
        <v>5</v>
      </c>
      <c r="Y41">
        <v>3</v>
      </c>
      <c r="Z41">
        <v>1</v>
      </c>
      <c r="AA41" s="188">
        <v>4.166666666666667</v>
      </c>
      <c r="AB41" s="337">
        <v>4.3875000000000002</v>
      </c>
      <c r="AC41" s="256">
        <v>8</v>
      </c>
    </row>
    <row r="42" spans="1:29" ht="16" x14ac:dyDescent="0.35">
      <c r="A42" s="102">
        <f>_xlfn.XLOOKUP(B42, 'Open Source Tools'!$E$3:$E$206, 'Open Source Tools'!$A$3:$A$206, "Not found")</f>
        <v>148</v>
      </c>
      <c r="B42" s="9" t="s">
        <v>2431</v>
      </c>
      <c r="C42" t="str">
        <f>INDEX('Open Source Tools'!D:D, MATCH(B42, 'Open Source Tools'!E:E, 0))</f>
        <v>Community level Modelling</v>
      </c>
      <c r="D42">
        <v>3</v>
      </c>
      <c r="E42">
        <v>3</v>
      </c>
      <c r="F42">
        <v>3</v>
      </c>
      <c r="G42">
        <v>4</v>
      </c>
      <c r="H42">
        <v>3</v>
      </c>
      <c r="I42">
        <v>4</v>
      </c>
      <c r="J42" s="187">
        <v>3.4166666666666665</v>
      </c>
      <c r="K42">
        <v>3</v>
      </c>
      <c r="L42">
        <v>2</v>
      </c>
      <c r="M42">
        <v>4</v>
      </c>
      <c r="N42">
        <v>5</v>
      </c>
      <c r="O42" s="187">
        <v>3.4444444444444446</v>
      </c>
      <c r="P42">
        <v>4</v>
      </c>
      <c r="Q42">
        <v>3</v>
      </c>
      <c r="R42">
        <v>5</v>
      </c>
      <c r="S42">
        <v>5</v>
      </c>
      <c r="T42">
        <v>5</v>
      </c>
      <c r="U42">
        <v>5</v>
      </c>
      <c r="V42" s="188">
        <v>4.666666666666667</v>
      </c>
      <c r="W42">
        <v>5</v>
      </c>
      <c r="X42">
        <v>5</v>
      </c>
      <c r="Y42">
        <v>5</v>
      </c>
      <c r="Z42">
        <v>4</v>
      </c>
      <c r="AA42" s="188">
        <v>4.916666666666667</v>
      </c>
      <c r="AB42" s="337">
        <v>4.3597222222222225</v>
      </c>
      <c r="AC42" s="256">
        <v>8</v>
      </c>
    </row>
    <row r="43" spans="1:29" ht="16" x14ac:dyDescent="0.35">
      <c r="A43" s="102">
        <f>_xlfn.XLOOKUP(B43, 'Open Source Tools'!$E$3:$E$206, 'Open Source Tools'!$A$3:$A$206, "Not found")</f>
        <v>174</v>
      </c>
      <c r="B43" s="9" t="s">
        <v>2764</v>
      </c>
      <c r="C43" t="str">
        <f>INDEX('Open Source Tools'!D:D, MATCH(B43, 'Open Source Tools'!E:E, 0))</f>
        <v>Collaborative Decision-Making Platforms</v>
      </c>
      <c r="D43">
        <v>4</v>
      </c>
      <c r="E43">
        <v>3</v>
      </c>
      <c r="F43">
        <v>3</v>
      </c>
      <c r="G43">
        <v>4</v>
      </c>
      <c r="H43">
        <v>3</v>
      </c>
      <c r="I43">
        <v>4</v>
      </c>
      <c r="J43" s="187">
        <v>3.5833333333333335</v>
      </c>
      <c r="K43">
        <v>5</v>
      </c>
      <c r="L43">
        <v>2</v>
      </c>
      <c r="M43">
        <v>4</v>
      </c>
      <c r="N43">
        <v>5</v>
      </c>
      <c r="O43" s="187">
        <v>4.1111111111111107</v>
      </c>
      <c r="P43">
        <v>4</v>
      </c>
      <c r="Q43">
        <v>3</v>
      </c>
      <c r="R43">
        <v>5</v>
      </c>
      <c r="S43">
        <v>5</v>
      </c>
      <c r="T43">
        <v>5</v>
      </c>
      <c r="U43">
        <v>5</v>
      </c>
      <c r="V43" s="188">
        <v>4.666666666666667</v>
      </c>
      <c r="W43">
        <v>5</v>
      </c>
      <c r="X43">
        <v>5</v>
      </c>
      <c r="Y43">
        <v>4</v>
      </c>
      <c r="Z43">
        <v>3</v>
      </c>
      <c r="AA43" s="188">
        <v>4.583333333333333</v>
      </c>
      <c r="AB43" s="337">
        <v>4.3513888888888888</v>
      </c>
      <c r="AC43" s="256">
        <v>8</v>
      </c>
    </row>
    <row r="44" spans="1:29" ht="16" x14ac:dyDescent="0.35">
      <c r="A44" s="102">
        <f>_xlfn.XLOOKUP(B44, 'Open Source Tools'!$E$3:$E$206, 'Open Source Tools'!$A$3:$A$206, "Not found")</f>
        <v>182</v>
      </c>
      <c r="B44" s="9" t="s">
        <v>2861</v>
      </c>
      <c r="C44" t="str">
        <f>INDEX('Open Source Tools'!D:D, MATCH(B44, 'Open Source Tools'!E:E, 0))</f>
        <v>Automated Billing Platforms (Dynamic pricing Billing systems)</v>
      </c>
      <c r="D44">
        <v>5</v>
      </c>
      <c r="E44">
        <v>4</v>
      </c>
      <c r="F44">
        <v>4</v>
      </c>
      <c r="G44">
        <v>5</v>
      </c>
      <c r="H44">
        <v>5</v>
      </c>
      <c r="I44">
        <v>4</v>
      </c>
      <c r="J44" s="187">
        <v>4.5</v>
      </c>
      <c r="K44">
        <v>5</v>
      </c>
      <c r="L44">
        <v>3</v>
      </c>
      <c r="M44">
        <v>4</v>
      </c>
      <c r="N44">
        <v>5</v>
      </c>
      <c r="O44" s="187">
        <v>4.333333333333333</v>
      </c>
      <c r="P44">
        <v>5</v>
      </c>
      <c r="Q44">
        <v>5</v>
      </c>
      <c r="R44">
        <v>1</v>
      </c>
      <c r="S44">
        <v>5</v>
      </c>
      <c r="T44">
        <v>5</v>
      </c>
      <c r="U44">
        <v>5</v>
      </c>
      <c r="V44" s="188">
        <v>4</v>
      </c>
      <c r="W44">
        <v>5</v>
      </c>
      <c r="X44">
        <v>5</v>
      </c>
      <c r="Y44">
        <v>4</v>
      </c>
      <c r="Z44">
        <v>1</v>
      </c>
      <c r="AA44" s="188">
        <v>4.416666666666667</v>
      </c>
      <c r="AB44" s="337">
        <v>4.3499999999999996</v>
      </c>
      <c r="AC44" s="256">
        <v>8</v>
      </c>
    </row>
    <row r="45" spans="1:29" ht="16" x14ac:dyDescent="0.35">
      <c r="A45" s="102">
        <f>_xlfn.XLOOKUP(B45, 'Open Source Tools'!$E$3:$E$206, 'Open Source Tools'!$A$3:$A$206, "Not found")</f>
        <v>194</v>
      </c>
      <c r="B45" s="9" t="s">
        <v>3020</v>
      </c>
      <c r="C45" t="str">
        <f>INDEX('Open Source Tools'!D:D, MATCH(B45, 'Open Source Tools'!E:E, 0))</f>
        <v>Weather Forecasting Tools</v>
      </c>
      <c r="D45">
        <v>4</v>
      </c>
      <c r="E45">
        <v>3</v>
      </c>
      <c r="F45">
        <v>2</v>
      </c>
      <c r="G45">
        <v>3</v>
      </c>
      <c r="H45">
        <v>3</v>
      </c>
      <c r="I45">
        <v>5</v>
      </c>
      <c r="J45" s="187">
        <v>3.5833333333333335</v>
      </c>
      <c r="K45">
        <v>5</v>
      </c>
      <c r="L45">
        <v>5</v>
      </c>
      <c r="M45">
        <v>4</v>
      </c>
      <c r="N45">
        <v>5</v>
      </c>
      <c r="O45" s="187">
        <v>4.7777777777777777</v>
      </c>
      <c r="P45">
        <v>5</v>
      </c>
      <c r="Q45">
        <v>2</v>
      </c>
      <c r="R45">
        <v>1</v>
      </c>
      <c r="S45">
        <v>5</v>
      </c>
      <c r="T45">
        <v>5</v>
      </c>
      <c r="U45">
        <v>3</v>
      </c>
      <c r="V45" s="188">
        <v>3.4166666666666665</v>
      </c>
      <c r="W45">
        <v>5</v>
      </c>
      <c r="X45">
        <v>5</v>
      </c>
      <c r="Y45">
        <v>4</v>
      </c>
      <c r="Z45">
        <v>4</v>
      </c>
      <c r="AA45" s="188">
        <v>4.666666666666667</v>
      </c>
      <c r="AB45" s="337">
        <v>4.3388888888888886</v>
      </c>
      <c r="AC45" s="256">
        <v>8</v>
      </c>
    </row>
    <row r="46" spans="1:29" ht="16" hidden="1" x14ac:dyDescent="0.35">
      <c r="A46" s="102">
        <f>_xlfn.XLOOKUP(B46, 'Open Source Tools'!$E$3:$E$206, 'Open Source Tools'!$A$3:$A$206, "Not found")</f>
        <v>84</v>
      </c>
      <c r="B46" s="9" t="s">
        <v>1545</v>
      </c>
      <c r="C46" t="str">
        <f>INDEX('Open Source Tools'!D:D, MATCH(B46, 'Open Source Tools'!E:E, 0))</f>
        <v>Time-Series Data Analysis Tools</v>
      </c>
      <c r="D46">
        <v>5</v>
      </c>
      <c r="E46">
        <v>4</v>
      </c>
      <c r="F46">
        <v>4</v>
      </c>
      <c r="G46">
        <v>3</v>
      </c>
      <c r="H46">
        <v>4</v>
      </c>
      <c r="I46">
        <v>4</v>
      </c>
      <c r="J46" s="187">
        <v>4</v>
      </c>
      <c r="K46">
        <v>5</v>
      </c>
      <c r="L46">
        <v>3</v>
      </c>
      <c r="M46">
        <v>1</v>
      </c>
      <c r="N46">
        <v>5</v>
      </c>
      <c r="O46" s="187">
        <v>3.6666666666666665</v>
      </c>
      <c r="P46">
        <v>3</v>
      </c>
      <c r="Q46">
        <v>3</v>
      </c>
      <c r="R46">
        <v>4</v>
      </c>
      <c r="S46">
        <v>5</v>
      </c>
      <c r="T46">
        <v>5</v>
      </c>
      <c r="U46">
        <v>2</v>
      </c>
      <c r="V46" s="188">
        <v>3.75</v>
      </c>
      <c r="W46">
        <v>5</v>
      </c>
      <c r="X46">
        <v>5</v>
      </c>
      <c r="Y46">
        <v>5</v>
      </c>
      <c r="Z46">
        <v>3</v>
      </c>
      <c r="AA46" s="188">
        <v>4.833333333333333</v>
      </c>
      <c r="AB46" s="337">
        <v>4.3125</v>
      </c>
      <c r="AC46" s="256">
        <v>8</v>
      </c>
    </row>
    <row r="47" spans="1:29" ht="16" hidden="1" customHeight="1" x14ac:dyDescent="0.35">
      <c r="A47" s="102">
        <f>_xlfn.XLOOKUP(B47, 'Open Source Tools'!$E$3:$E$206, 'Open Source Tools'!$A$3:$A$206, "Not found")</f>
        <v>85</v>
      </c>
      <c r="B47" s="9" t="s">
        <v>1557</v>
      </c>
      <c r="C47" t="str">
        <f>INDEX('Open Source Tools'!D:D, MATCH(B47, 'Open Source Tools'!E:E, 0))</f>
        <v>Time-Series Data Analysis Tools</v>
      </c>
      <c r="D47">
        <v>4</v>
      </c>
      <c r="E47">
        <v>3</v>
      </c>
      <c r="F47">
        <v>3</v>
      </c>
      <c r="G47">
        <v>4</v>
      </c>
      <c r="H47">
        <v>4</v>
      </c>
      <c r="I47">
        <v>4</v>
      </c>
      <c r="J47" s="187">
        <v>3.75</v>
      </c>
      <c r="K47">
        <v>5</v>
      </c>
      <c r="L47">
        <v>4</v>
      </c>
      <c r="M47">
        <v>4</v>
      </c>
      <c r="N47">
        <v>5</v>
      </c>
      <c r="O47" s="187">
        <v>4.5555555555555554</v>
      </c>
      <c r="P47">
        <v>5</v>
      </c>
      <c r="Q47">
        <v>3</v>
      </c>
      <c r="R47">
        <v>4</v>
      </c>
      <c r="S47">
        <v>5</v>
      </c>
      <c r="T47">
        <v>5</v>
      </c>
      <c r="U47">
        <v>3</v>
      </c>
      <c r="V47" s="188">
        <v>4.25</v>
      </c>
      <c r="W47">
        <v>5</v>
      </c>
      <c r="X47">
        <v>5</v>
      </c>
      <c r="Y47">
        <v>4</v>
      </c>
      <c r="Z47">
        <v>3</v>
      </c>
      <c r="AA47" s="188">
        <v>4.583333333333333</v>
      </c>
      <c r="AB47" s="337">
        <v>4.4027777777777768</v>
      </c>
      <c r="AC47" s="256">
        <v>8</v>
      </c>
    </row>
    <row r="48" spans="1:29" ht="16" hidden="1" customHeight="1" x14ac:dyDescent="0.35">
      <c r="A48" s="102">
        <f>_xlfn.XLOOKUP(B48, 'Open Source Tools'!$E$3:$E$206, 'Open Source Tools'!$A$3:$A$206, "Not found")</f>
        <v>86</v>
      </c>
      <c r="B48" s="9" t="s">
        <v>1569</v>
      </c>
      <c r="C48" t="str">
        <f>INDEX('Open Source Tools'!D:D, MATCH(B48, 'Open Source Tools'!E:E, 0))</f>
        <v>Time-Series Data Analysis Tools</v>
      </c>
      <c r="D48">
        <v>4</v>
      </c>
      <c r="E48">
        <v>3</v>
      </c>
      <c r="F48">
        <v>3</v>
      </c>
      <c r="G48">
        <v>3</v>
      </c>
      <c r="H48">
        <v>3</v>
      </c>
      <c r="I48">
        <v>3</v>
      </c>
      <c r="J48" s="187">
        <v>3.1666666666666665</v>
      </c>
      <c r="K48">
        <v>5</v>
      </c>
      <c r="L48">
        <v>5</v>
      </c>
      <c r="M48">
        <v>4</v>
      </c>
      <c r="N48">
        <v>5</v>
      </c>
      <c r="O48" s="187">
        <v>4.7777777777777777</v>
      </c>
      <c r="P48">
        <v>4</v>
      </c>
      <c r="Q48">
        <v>2</v>
      </c>
      <c r="R48">
        <v>4</v>
      </c>
      <c r="S48">
        <v>5</v>
      </c>
      <c r="T48">
        <v>5</v>
      </c>
      <c r="U48">
        <v>2</v>
      </c>
      <c r="V48" s="188">
        <v>3.8333333333333335</v>
      </c>
      <c r="W48">
        <v>5</v>
      </c>
      <c r="X48">
        <v>5</v>
      </c>
      <c r="Y48">
        <v>3</v>
      </c>
      <c r="Z48">
        <v>1</v>
      </c>
      <c r="AA48" s="188">
        <v>4.166666666666667</v>
      </c>
      <c r="AB48" s="337">
        <v>4.0888888888888886</v>
      </c>
      <c r="AC48" s="256">
        <v>8</v>
      </c>
    </row>
    <row r="49" spans="1:29" ht="16" x14ac:dyDescent="0.35">
      <c r="A49" s="102">
        <f>_xlfn.XLOOKUP(B49, 'Open Source Tools'!$E$3:$E$206, 'Open Source Tools'!$A$3:$A$206, "Not found")</f>
        <v>134</v>
      </c>
      <c r="B49" s="9" t="s">
        <v>2245</v>
      </c>
      <c r="C49" t="str">
        <f>INDEX('Open Source Tools'!D:D, MATCH(B49, 'Open Source Tools'!E:E, 0))</f>
        <v>Energy Analytics Platforms</v>
      </c>
      <c r="D49">
        <v>5</v>
      </c>
      <c r="E49">
        <v>4</v>
      </c>
      <c r="F49">
        <v>3</v>
      </c>
      <c r="G49">
        <v>5</v>
      </c>
      <c r="H49">
        <v>5</v>
      </c>
      <c r="I49">
        <v>5</v>
      </c>
      <c r="J49" s="187">
        <v>4.666666666666667</v>
      </c>
      <c r="K49">
        <v>5</v>
      </c>
      <c r="L49">
        <v>3</v>
      </c>
      <c r="M49">
        <v>4</v>
      </c>
      <c r="N49">
        <v>5</v>
      </c>
      <c r="O49" s="187">
        <v>4.333333333333333</v>
      </c>
      <c r="P49">
        <v>4</v>
      </c>
      <c r="Q49">
        <v>4</v>
      </c>
      <c r="R49">
        <v>4</v>
      </c>
      <c r="S49">
        <v>5</v>
      </c>
      <c r="T49">
        <v>5</v>
      </c>
      <c r="U49">
        <v>5</v>
      </c>
      <c r="V49" s="188">
        <v>4.5</v>
      </c>
      <c r="W49">
        <v>5</v>
      </c>
      <c r="X49">
        <v>5</v>
      </c>
      <c r="Y49">
        <v>3</v>
      </c>
      <c r="Z49">
        <v>1</v>
      </c>
      <c r="AA49" s="188">
        <v>4.166666666666667</v>
      </c>
      <c r="AB49" s="337">
        <v>4.3250000000000002</v>
      </c>
      <c r="AC49" s="256">
        <v>8</v>
      </c>
    </row>
    <row r="50" spans="1:29" ht="16" customHeight="1" x14ac:dyDescent="0.35">
      <c r="A50" s="102">
        <f>_xlfn.XLOOKUP(B50, 'Open Source Tools'!$E$3:$E$206, 'Open Source Tools'!$A$3:$A$206, "Not found")</f>
        <v>80</v>
      </c>
      <c r="B50" s="9" t="s">
        <v>1496</v>
      </c>
      <c r="C50" t="str">
        <f>INDEX('Open Source Tools'!D:D, MATCH(B50, 'Open Source Tools'!E:E, 0))</f>
        <v>Data Visualization Tools</v>
      </c>
      <c r="D50">
        <v>4</v>
      </c>
      <c r="E50">
        <v>4</v>
      </c>
      <c r="F50">
        <v>3</v>
      </c>
      <c r="G50">
        <v>4</v>
      </c>
      <c r="H50">
        <v>5</v>
      </c>
      <c r="I50">
        <v>4</v>
      </c>
      <c r="J50" s="187">
        <v>4.083333333333333</v>
      </c>
      <c r="K50">
        <v>5</v>
      </c>
      <c r="L50">
        <v>2</v>
      </c>
      <c r="M50">
        <v>4</v>
      </c>
      <c r="N50">
        <v>5</v>
      </c>
      <c r="O50" s="187">
        <v>4.1111111111111107</v>
      </c>
      <c r="P50">
        <v>5</v>
      </c>
      <c r="Q50">
        <v>3</v>
      </c>
      <c r="R50">
        <v>5</v>
      </c>
      <c r="S50">
        <v>5</v>
      </c>
      <c r="T50">
        <v>5</v>
      </c>
      <c r="U50">
        <v>4</v>
      </c>
      <c r="V50" s="188">
        <v>4.666666666666667</v>
      </c>
      <c r="W50">
        <v>5</v>
      </c>
      <c r="X50">
        <v>5</v>
      </c>
      <c r="Y50">
        <v>3</v>
      </c>
      <c r="Z50">
        <v>3</v>
      </c>
      <c r="AA50" s="188">
        <v>4.333333333333333</v>
      </c>
      <c r="AB50" s="337">
        <v>4.3013888888888889</v>
      </c>
      <c r="AC50" s="256">
        <v>8</v>
      </c>
    </row>
    <row r="51" spans="1:29" ht="16" customHeight="1" x14ac:dyDescent="0.35">
      <c r="A51" s="102">
        <f>_xlfn.XLOOKUP(B51, 'Open Source Tools'!$E$3:$E$206, 'Open Source Tools'!$A$3:$A$206, "Not found")</f>
        <v>193</v>
      </c>
      <c r="B51" s="9" t="s">
        <v>3006</v>
      </c>
      <c r="C51" t="str">
        <f>INDEX('Open Source Tools'!D:D, MATCH(B51, 'Open Source Tools'!E:E, 0))</f>
        <v>Weather Forecasting Tools</v>
      </c>
      <c r="D51">
        <v>4</v>
      </c>
      <c r="E51">
        <v>3</v>
      </c>
      <c r="F51">
        <v>3</v>
      </c>
      <c r="G51">
        <v>4</v>
      </c>
      <c r="H51">
        <v>4</v>
      </c>
      <c r="I51">
        <v>4</v>
      </c>
      <c r="J51" s="187">
        <v>3.75</v>
      </c>
      <c r="K51">
        <v>3</v>
      </c>
      <c r="L51">
        <v>3</v>
      </c>
      <c r="M51">
        <v>4</v>
      </c>
      <c r="N51">
        <v>5</v>
      </c>
      <c r="O51" s="187">
        <v>3.6666666666666665</v>
      </c>
      <c r="P51">
        <v>5</v>
      </c>
      <c r="Q51">
        <v>2</v>
      </c>
      <c r="R51">
        <v>3</v>
      </c>
      <c r="S51">
        <v>5</v>
      </c>
      <c r="T51">
        <v>2</v>
      </c>
      <c r="U51">
        <v>4</v>
      </c>
      <c r="V51" s="188">
        <v>3.5833333333333335</v>
      </c>
      <c r="W51">
        <v>5</v>
      </c>
      <c r="X51">
        <v>5</v>
      </c>
      <c r="Y51">
        <v>5</v>
      </c>
      <c r="Z51">
        <v>4</v>
      </c>
      <c r="AA51" s="188">
        <v>4.916666666666667</v>
      </c>
      <c r="AB51" s="337">
        <v>4.291666666666667</v>
      </c>
      <c r="AC51" s="256">
        <v>8</v>
      </c>
    </row>
    <row r="52" spans="1:29" ht="16" x14ac:dyDescent="0.35">
      <c r="A52" s="102">
        <f>_xlfn.XLOOKUP(B52, 'Open Source Tools'!$E$3:$E$206, 'Open Source Tools'!$A$3:$A$206, "Not found")</f>
        <v>10</v>
      </c>
      <c r="B52" s="9" t="s">
        <v>631</v>
      </c>
      <c r="C52" t="str">
        <f>INDEX('Open Source Tools'!D:D, MATCH(B52, 'Open Source Tools'!E:E, 0))</f>
        <v>Energy Trading Tool</v>
      </c>
      <c r="D52">
        <v>2</v>
      </c>
      <c r="E52">
        <v>2</v>
      </c>
      <c r="F52">
        <v>2</v>
      </c>
      <c r="G52">
        <v>4</v>
      </c>
      <c r="H52">
        <v>3</v>
      </c>
      <c r="I52">
        <v>5</v>
      </c>
      <c r="J52" s="187">
        <v>3.25</v>
      </c>
      <c r="K52">
        <v>5</v>
      </c>
      <c r="L52">
        <v>5</v>
      </c>
      <c r="M52">
        <v>5</v>
      </c>
      <c r="N52">
        <v>5</v>
      </c>
      <c r="O52" s="187">
        <v>5</v>
      </c>
      <c r="P52">
        <v>3</v>
      </c>
      <c r="Q52">
        <v>2</v>
      </c>
      <c r="R52">
        <v>5</v>
      </c>
      <c r="S52">
        <v>5</v>
      </c>
      <c r="T52">
        <v>5</v>
      </c>
      <c r="U52">
        <v>4</v>
      </c>
      <c r="V52" s="188">
        <v>4.25</v>
      </c>
      <c r="W52">
        <v>5</v>
      </c>
      <c r="X52">
        <v>5</v>
      </c>
      <c r="Y52">
        <v>3</v>
      </c>
      <c r="Z52">
        <v>3</v>
      </c>
      <c r="AA52" s="188">
        <v>4.333333333333333</v>
      </c>
      <c r="AB52" s="337">
        <v>4.2916666666666661</v>
      </c>
      <c r="AC52" s="256">
        <v>8</v>
      </c>
    </row>
    <row r="53" spans="1:29" ht="16" x14ac:dyDescent="0.35">
      <c r="A53" s="102">
        <f>_xlfn.XLOOKUP(B53, 'Open Source Tools'!$E$3:$E$206, 'Open Source Tools'!$A$3:$A$206, "Not found")</f>
        <v>147</v>
      </c>
      <c r="B53" s="9" t="s">
        <v>2416</v>
      </c>
      <c r="C53" t="str">
        <f>INDEX('Open Source Tools'!D:D, MATCH(B53, 'Open Source Tools'!E:E, 0))</f>
        <v>Community level Modelling</v>
      </c>
      <c r="D53">
        <v>2</v>
      </c>
      <c r="E53">
        <v>2</v>
      </c>
      <c r="F53">
        <v>2</v>
      </c>
      <c r="G53">
        <v>4</v>
      </c>
      <c r="H53">
        <v>3</v>
      </c>
      <c r="I53">
        <v>5</v>
      </c>
      <c r="J53" s="187">
        <v>3.25</v>
      </c>
      <c r="K53">
        <v>5</v>
      </c>
      <c r="L53">
        <v>3</v>
      </c>
      <c r="M53">
        <v>4</v>
      </c>
      <c r="N53">
        <v>5</v>
      </c>
      <c r="O53" s="187">
        <v>4.333333333333333</v>
      </c>
      <c r="P53">
        <v>4</v>
      </c>
      <c r="Q53">
        <v>3</v>
      </c>
      <c r="R53">
        <v>5</v>
      </c>
      <c r="S53">
        <v>5</v>
      </c>
      <c r="T53">
        <v>2</v>
      </c>
      <c r="U53">
        <v>4</v>
      </c>
      <c r="V53" s="188">
        <v>4</v>
      </c>
      <c r="W53">
        <v>5</v>
      </c>
      <c r="X53">
        <v>5</v>
      </c>
      <c r="Y53">
        <v>4</v>
      </c>
      <c r="Z53">
        <v>4</v>
      </c>
      <c r="AA53" s="188">
        <v>4.666666666666667</v>
      </c>
      <c r="AB53" s="337">
        <v>4.2874999999999996</v>
      </c>
      <c r="AC53" s="256">
        <v>8</v>
      </c>
    </row>
    <row r="54" spans="1:29" ht="16" x14ac:dyDescent="0.35">
      <c r="A54" s="102">
        <f>_xlfn.XLOOKUP(B54, 'Open Source Tools'!$E$3:$E$206, 'Open Source Tools'!$A$3:$A$206, "Not found")</f>
        <v>167</v>
      </c>
      <c r="B54" s="9" t="s">
        <v>2679</v>
      </c>
      <c r="C54" t="str">
        <f>INDEX('Open Source Tools'!D:D, MATCH(B54, 'Open Source Tools'!E:E, 0))</f>
        <v>Energy System Simulation Tools (e.g., HOMER, PLEXOS)</v>
      </c>
      <c r="D54">
        <v>3</v>
      </c>
      <c r="E54">
        <v>3</v>
      </c>
      <c r="F54">
        <v>2</v>
      </c>
      <c r="G54">
        <v>2</v>
      </c>
      <c r="H54">
        <v>2</v>
      </c>
      <c r="I54">
        <v>4</v>
      </c>
      <c r="J54" s="187">
        <v>2.8333333333333335</v>
      </c>
      <c r="K54">
        <v>5</v>
      </c>
      <c r="L54">
        <v>2</v>
      </c>
      <c r="M54">
        <v>4</v>
      </c>
      <c r="N54">
        <v>5</v>
      </c>
      <c r="O54" s="187">
        <v>4.1111111111111107</v>
      </c>
      <c r="P54">
        <v>4</v>
      </c>
      <c r="Q54">
        <v>2</v>
      </c>
      <c r="R54">
        <v>5</v>
      </c>
      <c r="S54">
        <v>5</v>
      </c>
      <c r="T54">
        <v>2</v>
      </c>
      <c r="U54">
        <v>3</v>
      </c>
      <c r="V54" s="188">
        <v>3.75</v>
      </c>
      <c r="W54">
        <v>5</v>
      </c>
      <c r="X54">
        <v>5</v>
      </c>
      <c r="Y54">
        <v>5</v>
      </c>
      <c r="Z54">
        <v>4</v>
      </c>
      <c r="AA54" s="188">
        <v>4.916666666666667</v>
      </c>
      <c r="AB54" s="337">
        <v>4.2680555555555557</v>
      </c>
      <c r="AC54" s="256">
        <v>8</v>
      </c>
    </row>
    <row r="55" spans="1:29" ht="16" x14ac:dyDescent="0.35">
      <c r="A55" s="102">
        <f>_xlfn.XLOOKUP(B55, 'Open Source Tools'!$E$3:$E$206, 'Open Source Tools'!$A$3:$A$206, "Not found")</f>
        <v>142</v>
      </c>
      <c r="B55" s="9" t="s">
        <v>2348</v>
      </c>
      <c r="C55" t="str">
        <f>INDEX('Open Source Tools'!D:D, MATCH(B55, 'Open Source Tools'!E:E, 0))</f>
        <v>DSO level modelling</v>
      </c>
      <c r="D55">
        <v>3</v>
      </c>
      <c r="E55">
        <v>3</v>
      </c>
      <c r="F55">
        <v>3</v>
      </c>
      <c r="G55">
        <v>4</v>
      </c>
      <c r="H55">
        <v>3</v>
      </c>
      <c r="I55">
        <v>5</v>
      </c>
      <c r="J55" s="187">
        <v>3.6666666666666665</v>
      </c>
      <c r="K55">
        <v>3</v>
      </c>
      <c r="L55">
        <v>4</v>
      </c>
      <c r="M55">
        <v>4</v>
      </c>
      <c r="N55">
        <v>5</v>
      </c>
      <c r="O55" s="187">
        <v>3.8888888888888888</v>
      </c>
      <c r="P55">
        <v>4</v>
      </c>
      <c r="Q55">
        <v>4</v>
      </c>
      <c r="R55">
        <v>4</v>
      </c>
      <c r="S55">
        <v>5</v>
      </c>
      <c r="T55">
        <v>2</v>
      </c>
      <c r="U55">
        <v>5</v>
      </c>
      <c r="V55" s="188">
        <v>4</v>
      </c>
      <c r="W55">
        <v>5</v>
      </c>
      <c r="X55">
        <v>5</v>
      </c>
      <c r="Y55">
        <v>4</v>
      </c>
      <c r="Z55">
        <v>3</v>
      </c>
      <c r="AA55" s="188">
        <v>4.583333333333333</v>
      </c>
      <c r="AB55" s="337">
        <v>4.2194444444444441</v>
      </c>
      <c r="AC55" s="256">
        <v>8</v>
      </c>
    </row>
    <row r="56" spans="1:29" ht="16" x14ac:dyDescent="0.35">
      <c r="A56" s="102">
        <f>_xlfn.XLOOKUP(B56, 'Open Source Tools'!$E$3:$E$206, 'Open Source Tools'!$A$3:$A$206, "Not found")</f>
        <v>154</v>
      </c>
      <c r="B56" s="9" t="s">
        <v>2511</v>
      </c>
      <c r="C56" t="str">
        <f>INDEX('Open Source Tools'!D:D, MATCH(B56, 'Open Source Tools'!E:E, 0))</f>
        <v>Community level Modelling</v>
      </c>
      <c r="D56">
        <v>3</v>
      </c>
      <c r="E56">
        <v>2</v>
      </c>
      <c r="F56">
        <v>2</v>
      </c>
      <c r="G56">
        <v>4</v>
      </c>
      <c r="H56">
        <v>3</v>
      </c>
      <c r="I56">
        <v>4</v>
      </c>
      <c r="J56" s="187">
        <v>3.1666666666666665</v>
      </c>
      <c r="K56">
        <v>5</v>
      </c>
      <c r="L56">
        <v>2</v>
      </c>
      <c r="M56">
        <v>4</v>
      </c>
      <c r="N56">
        <v>5</v>
      </c>
      <c r="O56" s="187">
        <v>4.1111111111111107</v>
      </c>
      <c r="P56">
        <v>5</v>
      </c>
      <c r="Q56">
        <v>3</v>
      </c>
      <c r="R56">
        <v>5</v>
      </c>
      <c r="S56">
        <v>5</v>
      </c>
      <c r="T56">
        <v>5</v>
      </c>
      <c r="U56">
        <v>4</v>
      </c>
      <c r="V56" s="188">
        <v>4.666666666666667</v>
      </c>
      <c r="W56">
        <v>5</v>
      </c>
      <c r="X56">
        <v>5</v>
      </c>
      <c r="Y56">
        <v>3</v>
      </c>
      <c r="Z56">
        <v>4</v>
      </c>
      <c r="AA56" s="188">
        <v>4.416666666666667</v>
      </c>
      <c r="AB56" s="337">
        <v>4.2055555555555557</v>
      </c>
      <c r="AC56" s="256">
        <v>8</v>
      </c>
    </row>
    <row r="57" spans="1:29" ht="16" x14ac:dyDescent="0.35">
      <c r="A57" s="102">
        <f>_xlfn.XLOOKUP(B57, 'Open Source Tools'!$E$3:$E$206, 'Open Source Tools'!$A$3:$A$206, "Not found")</f>
        <v>187</v>
      </c>
      <c r="B57" s="9" t="s">
        <v>2928</v>
      </c>
      <c r="C57" t="str">
        <f>INDEX('Open Source Tools'!D:D, MATCH(B57, 'Open Source Tools'!E:E, 0))</f>
        <v>Energy Analytics Platforms</v>
      </c>
      <c r="D57">
        <v>2</v>
      </c>
      <c r="E57">
        <v>2</v>
      </c>
      <c r="F57">
        <v>2</v>
      </c>
      <c r="G57">
        <v>4</v>
      </c>
      <c r="H57">
        <v>3</v>
      </c>
      <c r="I57">
        <v>5</v>
      </c>
      <c r="J57" s="187">
        <v>3.25</v>
      </c>
      <c r="K57">
        <v>5</v>
      </c>
      <c r="L57">
        <v>2</v>
      </c>
      <c r="M57">
        <v>4</v>
      </c>
      <c r="N57">
        <v>5</v>
      </c>
      <c r="O57" s="187">
        <v>4.1111111111111107</v>
      </c>
      <c r="P57">
        <v>4</v>
      </c>
      <c r="Q57">
        <v>3</v>
      </c>
      <c r="R57">
        <v>5</v>
      </c>
      <c r="S57">
        <v>5</v>
      </c>
      <c r="T57">
        <v>5</v>
      </c>
      <c r="U57">
        <v>4</v>
      </c>
      <c r="V57" s="188">
        <v>4.5</v>
      </c>
      <c r="W57">
        <v>5</v>
      </c>
      <c r="X57">
        <v>5</v>
      </c>
      <c r="Y57">
        <v>3</v>
      </c>
      <c r="Z57">
        <v>4</v>
      </c>
      <c r="AA57" s="188">
        <v>4.416666666666667</v>
      </c>
      <c r="AB57" s="337">
        <v>4.1930555555555555</v>
      </c>
      <c r="AC57" s="256">
        <v>8</v>
      </c>
    </row>
    <row r="58" spans="1:29" ht="16" x14ac:dyDescent="0.35">
      <c r="A58" s="102">
        <f>_xlfn.XLOOKUP(B58, 'Open Source Tools'!$E$3:$E$206, 'Open Source Tools'!$A$3:$A$206, "Not found")</f>
        <v>96</v>
      </c>
      <c r="B58" s="9" t="s">
        <v>1679</v>
      </c>
      <c r="C58" t="str">
        <f>INDEX('Open Source Tools'!D:D, MATCH(B58, 'Open Source Tools'!E:E, 0))</f>
        <v>Community Energy Management Systems (CEMS)</v>
      </c>
      <c r="D58">
        <v>3</v>
      </c>
      <c r="E58">
        <v>3</v>
      </c>
      <c r="F58">
        <v>3</v>
      </c>
      <c r="G58">
        <v>4</v>
      </c>
      <c r="H58">
        <v>3</v>
      </c>
      <c r="I58">
        <v>4</v>
      </c>
      <c r="J58" s="187">
        <v>3.4166666666666665</v>
      </c>
      <c r="K58">
        <v>5</v>
      </c>
      <c r="L58">
        <v>3</v>
      </c>
      <c r="M58">
        <v>4</v>
      </c>
      <c r="N58">
        <v>5</v>
      </c>
      <c r="O58" s="187">
        <v>4.333333333333333</v>
      </c>
      <c r="P58">
        <v>4</v>
      </c>
      <c r="Q58">
        <v>3</v>
      </c>
      <c r="R58">
        <v>4</v>
      </c>
      <c r="S58">
        <v>5</v>
      </c>
      <c r="T58">
        <v>5</v>
      </c>
      <c r="U58">
        <v>4</v>
      </c>
      <c r="V58" s="188">
        <v>4.25</v>
      </c>
      <c r="W58">
        <v>5</v>
      </c>
      <c r="X58">
        <v>5</v>
      </c>
      <c r="Y58">
        <v>3</v>
      </c>
      <c r="Z58">
        <v>3</v>
      </c>
      <c r="AA58" s="188">
        <v>4.333333333333333</v>
      </c>
      <c r="AB58" s="337">
        <v>4.1833333333333336</v>
      </c>
      <c r="AC58" s="256">
        <v>8</v>
      </c>
    </row>
    <row r="59" spans="1:29" ht="16" x14ac:dyDescent="0.35">
      <c r="A59" s="102">
        <f>_xlfn.XLOOKUP(B59, 'Open Source Tools'!$E$3:$E$206, 'Open Source Tools'!$A$3:$A$206, "Not found")</f>
        <v>79</v>
      </c>
      <c r="B59" s="9" t="s">
        <v>1483</v>
      </c>
      <c r="C59" t="str">
        <f>INDEX('Open Source Tools'!D:D, MATCH(B59, 'Open Source Tools'!E:E, 0))</f>
        <v>Data Visualization Tools</v>
      </c>
      <c r="D59">
        <v>3</v>
      </c>
      <c r="E59">
        <v>3</v>
      </c>
      <c r="F59">
        <v>2</v>
      </c>
      <c r="G59">
        <v>2</v>
      </c>
      <c r="H59">
        <v>3</v>
      </c>
      <c r="I59">
        <v>4</v>
      </c>
      <c r="J59" s="187">
        <v>3</v>
      </c>
      <c r="K59">
        <v>3</v>
      </c>
      <c r="L59">
        <v>2</v>
      </c>
      <c r="M59">
        <v>4</v>
      </c>
      <c r="N59">
        <v>5</v>
      </c>
      <c r="O59" s="187">
        <v>3.4444444444444446</v>
      </c>
      <c r="P59">
        <v>2</v>
      </c>
      <c r="Q59">
        <v>5</v>
      </c>
      <c r="R59">
        <v>5</v>
      </c>
      <c r="S59">
        <v>5</v>
      </c>
      <c r="T59">
        <v>5</v>
      </c>
      <c r="U59">
        <v>3</v>
      </c>
      <c r="V59" s="188">
        <v>4.166666666666667</v>
      </c>
      <c r="W59">
        <v>5</v>
      </c>
      <c r="X59">
        <v>5</v>
      </c>
      <c r="Y59">
        <v>5</v>
      </c>
      <c r="Z59">
        <v>3</v>
      </c>
      <c r="AA59" s="188">
        <v>4.833333333333333</v>
      </c>
      <c r="AB59" s="337">
        <v>4.1805555555555554</v>
      </c>
      <c r="AC59" s="256">
        <v>8</v>
      </c>
    </row>
    <row r="60" spans="1:29" ht="16" x14ac:dyDescent="0.35">
      <c r="A60" s="102">
        <f>_xlfn.XLOOKUP(B60, 'Open Source Tools'!$E$3:$E$206, 'Open Source Tools'!$A$3:$A$206, "Not found")</f>
        <v>198</v>
      </c>
      <c r="B60" s="9" t="s">
        <v>3080</v>
      </c>
      <c r="C60" t="str">
        <f>INDEX('Open Source Tools'!D:D, MATCH(B60, 'Open Source Tools'!E:E, 0))</f>
        <v>Community-Based Energy Access Programs</v>
      </c>
      <c r="D60">
        <v>2</v>
      </c>
      <c r="E60">
        <v>2</v>
      </c>
      <c r="F60">
        <v>2</v>
      </c>
      <c r="G60">
        <v>3</v>
      </c>
      <c r="H60">
        <v>2</v>
      </c>
      <c r="I60">
        <v>5</v>
      </c>
      <c r="J60" s="187">
        <v>2.9166666666666665</v>
      </c>
      <c r="K60">
        <v>5</v>
      </c>
      <c r="L60">
        <v>5</v>
      </c>
      <c r="M60">
        <v>4</v>
      </c>
      <c r="N60">
        <v>5</v>
      </c>
      <c r="O60" s="187">
        <v>4.7777777777777777</v>
      </c>
      <c r="P60">
        <v>5</v>
      </c>
      <c r="Q60">
        <v>2</v>
      </c>
      <c r="R60">
        <v>2</v>
      </c>
      <c r="S60">
        <v>5</v>
      </c>
      <c r="T60">
        <v>5</v>
      </c>
      <c r="U60">
        <v>4</v>
      </c>
      <c r="V60" s="188">
        <v>3.8333333333333335</v>
      </c>
      <c r="W60">
        <v>5</v>
      </c>
      <c r="X60">
        <v>5</v>
      </c>
      <c r="Y60">
        <v>3</v>
      </c>
      <c r="Z60">
        <v>4</v>
      </c>
      <c r="AA60" s="188">
        <v>4.416666666666667</v>
      </c>
      <c r="AB60" s="337">
        <v>4.1763888888888889</v>
      </c>
      <c r="AC60" s="256">
        <v>8</v>
      </c>
    </row>
    <row r="61" spans="1:29" ht="16" x14ac:dyDescent="0.35">
      <c r="A61" s="102">
        <f>_xlfn.XLOOKUP(B61, 'Open Source Tools'!$E$3:$E$206, 'Open Source Tools'!$A$3:$A$206, "Not found")</f>
        <v>28</v>
      </c>
      <c r="B61" s="9" t="s">
        <v>851</v>
      </c>
      <c r="C61" t="str">
        <f>INDEX('Open Source Tools'!D:D, MATCH(B61, 'Open Source Tools'!E:E, 0))</f>
        <v>Community Energy Management Systems (CEMS)</v>
      </c>
      <c r="D61">
        <v>4</v>
      </c>
      <c r="E61">
        <v>3</v>
      </c>
      <c r="F61">
        <v>3</v>
      </c>
      <c r="G61">
        <v>3</v>
      </c>
      <c r="H61">
        <v>3</v>
      </c>
      <c r="I61">
        <v>4</v>
      </c>
      <c r="J61" s="187">
        <v>3.4166666666666665</v>
      </c>
      <c r="K61">
        <v>5</v>
      </c>
      <c r="L61">
        <v>2</v>
      </c>
      <c r="M61">
        <v>5</v>
      </c>
      <c r="N61">
        <v>5</v>
      </c>
      <c r="O61" s="187">
        <v>4.333333333333333</v>
      </c>
      <c r="P61">
        <v>3</v>
      </c>
      <c r="Q61">
        <v>3</v>
      </c>
      <c r="R61">
        <v>4</v>
      </c>
      <c r="S61">
        <v>5</v>
      </c>
      <c r="T61">
        <v>5</v>
      </c>
      <c r="U61">
        <v>3</v>
      </c>
      <c r="V61" s="188">
        <v>3.9166666666666665</v>
      </c>
      <c r="W61">
        <v>5</v>
      </c>
      <c r="X61">
        <v>5</v>
      </c>
      <c r="Y61">
        <v>3</v>
      </c>
      <c r="Z61">
        <v>4</v>
      </c>
      <c r="AA61" s="188">
        <v>4.416666666666667</v>
      </c>
      <c r="AB61" s="337">
        <v>4.1749999999999998</v>
      </c>
      <c r="AC61" s="256">
        <v>8</v>
      </c>
    </row>
    <row r="62" spans="1:29" ht="16" x14ac:dyDescent="0.35">
      <c r="A62" s="102">
        <f>_xlfn.XLOOKUP(B62, 'Open Source Tools'!$E$3:$E$206, 'Open Source Tools'!$A$3:$A$206, "Not found")</f>
        <v>47</v>
      </c>
      <c r="B62" s="9" t="s">
        <v>1101</v>
      </c>
      <c r="C62" t="str">
        <f>INDEX('Open Source Tools'!D:D, MATCH(B62, 'Open Source Tools'!E:E, 0))</f>
        <v>AI-Powered Energy Forecasting</v>
      </c>
      <c r="D62">
        <v>3</v>
      </c>
      <c r="E62">
        <v>2</v>
      </c>
      <c r="F62">
        <v>2</v>
      </c>
      <c r="G62">
        <v>3</v>
      </c>
      <c r="H62">
        <v>3</v>
      </c>
      <c r="I62">
        <v>4</v>
      </c>
      <c r="J62" s="187">
        <v>3</v>
      </c>
      <c r="K62">
        <v>5</v>
      </c>
      <c r="L62">
        <v>4</v>
      </c>
      <c r="M62">
        <v>4</v>
      </c>
      <c r="N62">
        <v>5</v>
      </c>
      <c r="O62" s="187">
        <v>4.5555555555555554</v>
      </c>
      <c r="P62">
        <v>4</v>
      </c>
      <c r="Q62">
        <v>2</v>
      </c>
      <c r="R62">
        <v>4</v>
      </c>
      <c r="S62">
        <v>5</v>
      </c>
      <c r="T62">
        <v>5</v>
      </c>
      <c r="U62">
        <v>3</v>
      </c>
      <c r="V62" s="188">
        <v>4</v>
      </c>
      <c r="W62">
        <v>5</v>
      </c>
      <c r="X62">
        <v>5</v>
      </c>
      <c r="Y62">
        <v>3</v>
      </c>
      <c r="Z62">
        <v>4</v>
      </c>
      <c r="AA62" s="188">
        <v>4.416666666666667</v>
      </c>
      <c r="AB62" s="337">
        <v>4.1694444444444443</v>
      </c>
      <c r="AC62" s="256">
        <v>8</v>
      </c>
    </row>
    <row r="63" spans="1:29" ht="16" x14ac:dyDescent="0.35">
      <c r="A63" s="102">
        <f>_xlfn.XLOOKUP(B63, 'Open Source Tools'!$E$3:$E$206, 'Open Source Tools'!$A$3:$A$206, "Not found")</f>
        <v>159</v>
      </c>
      <c r="B63" s="9" t="s">
        <v>2578</v>
      </c>
      <c r="C63" t="str">
        <f>INDEX('Open Source Tools'!D:D, MATCH(B63, 'Open Source Tools'!E:E, 0))</f>
        <v>Individual Unit modelling</v>
      </c>
      <c r="D63">
        <v>3</v>
      </c>
      <c r="E63">
        <v>2</v>
      </c>
      <c r="F63">
        <v>2</v>
      </c>
      <c r="G63">
        <v>4</v>
      </c>
      <c r="H63">
        <v>3</v>
      </c>
      <c r="I63">
        <v>4</v>
      </c>
      <c r="J63" s="187">
        <v>3.1666666666666665</v>
      </c>
      <c r="K63">
        <v>3</v>
      </c>
      <c r="L63">
        <v>3</v>
      </c>
      <c r="M63">
        <v>4</v>
      </c>
      <c r="N63">
        <v>5</v>
      </c>
      <c r="O63" s="187">
        <v>3.6666666666666665</v>
      </c>
      <c r="P63">
        <v>4</v>
      </c>
      <c r="Q63">
        <v>2</v>
      </c>
      <c r="R63">
        <v>4</v>
      </c>
      <c r="S63">
        <v>5</v>
      </c>
      <c r="T63">
        <v>5</v>
      </c>
      <c r="U63">
        <v>4</v>
      </c>
      <c r="V63" s="188">
        <v>4.166666666666667</v>
      </c>
      <c r="W63">
        <v>5</v>
      </c>
      <c r="X63">
        <v>5</v>
      </c>
      <c r="Y63">
        <v>4</v>
      </c>
      <c r="Z63">
        <v>4</v>
      </c>
      <c r="AA63" s="188">
        <v>4.666666666666667</v>
      </c>
      <c r="AB63" s="337">
        <v>4.166666666666667</v>
      </c>
      <c r="AC63" s="256">
        <v>8</v>
      </c>
    </row>
    <row r="64" spans="1:29" ht="16" x14ac:dyDescent="0.35">
      <c r="A64" s="102">
        <f>_xlfn.XLOOKUP(B64, 'Open Source Tools'!$E$3:$E$206, 'Open Source Tools'!$A$3:$A$206, "Not found")</f>
        <v>179</v>
      </c>
      <c r="B64" s="9" t="s">
        <v>2825</v>
      </c>
      <c r="C64" t="str">
        <f>INDEX('Open Source Tools'!D:D, MATCH(B64, 'Open Source Tools'!E:E, 0))</f>
        <v>Automated Billing Platforms (Dynamic pricing Billing systems)</v>
      </c>
      <c r="D64">
        <v>4</v>
      </c>
      <c r="E64">
        <v>3</v>
      </c>
      <c r="F64">
        <v>1</v>
      </c>
      <c r="G64">
        <v>3</v>
      </c>
      <c r="H64">
        <v>3</v>
      </c>
      <c r="I64">
        <v>3</v>
      </c>
      <c r="J64" s="187">
        <v>3</v>
      </c>
      <c r="K64">
        <v>5</v>
      </c>
      <c r="L64">
        <v>5</v>
      </c>
      <c r="M64">
        <v>4</v>
      </c>
      <c r="N64">
        <v>5</v>
      </c>
      <c r="O64" s="187">
        <v>4.7777777777777777</v>
      </c>
      <c r="P64">
        <v>5</v>
      </c>
      <c r="Q64">
        <v>3</v>
      </c>
      <c r="R64">
        <v>1</v>
      </c>
      <c r="S64">
        <v>5</v>
      </c>
      <c r="T64">
        <v>5</v>
      </c>
      <c r="U64">
        <v>4</v>
      </c>
      <c r="V64" s="188">
        <v>3.6666666666666665</v>
      </c>
      <c r="W64">
        <v>5</v>
      </c>
      <c r="X64">
        <v>5</v>
      </c>
      <c r="Y64">
        <v>4</v>
      </c>
      <c r="Z64">
        <v>1</v>
      </c>
      <c r="AA64" s="188">
        <v>4.416666666666667</v>
      </c>
      <c r="AB64" s="337">
        <v>4.1638888888888888</v>
      </c>
      <c r="AC64" s="256">
        <v>8</v>
      </c>
    </row>
    <row r="65" spans="1:29" ht="16" x14ac:dyDescent="0.35">
      <c r="A65" s="102">
        <f>_xlfn.XLOOKUP(B65, 'Open Source Tools'!$E$3:$E$206, 'Open Source Tools'!$A$3:$A$206, "Not found")</f>
        <v>199</v>
      </c>
      <c r="B65" s="9" t="s">
        <v>3095</v>
      </c>
      <c r="C65" t="str">
        <f>INDEX('Open Source Tools'!D:D, MATCH(B65, 'Open Source Tools'!E:E, 0))</f>
        <v>Community-Based Energy Access Programs</v>
      </c>
      <c r="D65">
        <v>3</v>
      </c>
      <c r="E65">
        <v>2</v>
      </c>
      <c r="F65">
        <v>2</v>
      </c>
      <c r="G65">
        <v>3</v>
      </c>
      <c r="H65">
        <v>2</v>
      </c>
      <c r="I65">
        <v>5</v>
      </c>
      <c r="J65" s="187">
        <v>3.0833333333333335</v>
      </c>
      <c r="K65">
        <v>5</v>
      </c>
      <c r="L65">
        <v>5</v>
      </c>
      <c r="M65">
        <v>2</v>
      </c>
      <c r="N65">
        <v>5</v>
      </c>
      <c r="O65" s="187">
        <v>4.333333333333333</v>
      </c>
      <c r="P65">
        <v>5</v>
      </c>
      <c r="Q65">
        <v>2</v>
      </c>
      <c r="R65">
        <v>5</v>
      </c>
      <c r="S65">
        <v>5</v>
      </c>
      <c r="T65">
        <v>5</v>
      </c>
      <c r="U65">
        <v>3</v>
      </c>
      <c r="V65" s="188">
        <v>4.416666666666667</v>
      </c>
      <c r="W65">
        <v>5</v>
      </c>
      <c r="X65">
        <v>5</v>
      </c>
      <c r="Y65">
        <v>3</v>
      </c>
      <c r="Z65">
        <v>3</v>
      </c>
      <c r="AA65" s="188">
        <v>4.333333333333333</v>
      </c>
      <c r="AB65" s="337">
        <v>4.1583333333333332</v>
      </c>
      <c r="AC65" s="256">
        <v>8</v>
      </c>
    </row>
    <row r="66" spans="1:29" ht="16" x14ac:dyDescent="0.35">
      <c r="A66" s="102">
        <f>_xlfn.XLOOKUP(B66, 'Open Source Tools'!$E$3:$E$206, 'Open Source Tools'!$A$3:$A$206, "Not found")</f>
        <v>13</v>
      </c>
      <c r="B66" s="9" t="s">
        <v>670</v>
      </c>
      <c r="C66" t="str">
        <f>INDEX('Open Source Tools'!D:D, MATCH(B66, 'Open Source Tools'!E:E, 0))</f>
        <v>Grid Balancing Tools</v>
      </c>
      <c r="D66">
        <v>3</v>
      </c>
      <c r="E66">
        <v>2</v>
      </c>
      <c r="F66">
        <v>2</v>
      </c>
      <c r="G66">
        <v>5</v>
      </c>
      <c r="H66">
        <v>5</v>
      </c>
      <c r="I66">
        <v>5</v>
      </c>
      <c r="J66" s="187">
        <v>3.9166699999999999</v>
      </c>
      <c r="K66">
        <v>5</v>
      </c>
      <c r="L66">
        <v>5</v>
      </c>
      <c r="M66">
        <v>5</v>
      </c>
      <c r="N66">
        <v>5</v>
      </c>
      <c r="O66" s="187">
        <v>5</v>
      </c>
      <c r="P66">
        <v>4</v>
      </c>
      <c r="Q66">
        <v>3</v>
      </c>
      <c r="R66">
        <v>3</v>
      </c>
      <c r="S66">
        <v>5</v>
      </c>
      <c r="T66">
        <v>5</v>
      </c>
      <c r="U66">
        <v>3</v>
      </c>
      <c r="V66" s="188">
        <v>3.8333330000000001</v>
      </c>
      <c r="W66">
        <v>5</v>
      </c>
      <c r="X66">
        <v>5</v>
      </c>
      <c r="Y66">
        <v>3</v>
      </c>
      <c r="Z66">
        <v>1</v>
      </c>
      <c r="AA66" s="188">
        <v>3.75</v>
      </c>
      <c r="AB66" s="337">
        <v>4.1541666666666668</v>
      </c>
      <c r="AC66" s="256">
        <v>8</v>
      </c>
    </row>
    <row r="67" spans="1:29" ht="16" x14ac:dyDescent="0.35">
      <c r="A67" s="102">
        <f>_xlfn.XLOOKUP(B67, 'Open Source Tools'!$E$3:$E$206, 'Open Source Tools'!$A$3:$A$206, "Not found")</f>
        <v>16</v>
      </c>
      <c r="B67" s="9" t="s">
        <v>689</v>
      </c>
      <c r="C67" t="str">
        <f>INDEX('Open Source Tools'!D:D, MATCH(B67, 'Open Source Tools'!E:E, 0))</f>
        <v>Dynamic Pricing Platform</v>
      </c>
      <c r="D67">
        <v>4</v>
      </c>
      <c r="E67">
        <v>3</v>
      </c>
      <c r="F67">
        <v>3</v>
      </c>
      <c r="G67">
        <v>4</v>
      </c>
      <c r="H67">
        <v>4</v>
      </c>
      <c r="I67">
        <v>4</v>
      </c>
      <c r="J67" s="187">
        <v>3.75</v>
      </c>
      <c r="K67">
        <v>5</v>
      </c>
      <c r="L67">
        <v>2</v>
      </c>
      <c r="M67">
        <v>5</v>
      </c>
      <c r="N67">
        <v>5</v>
      </c>
      <c r="O67" s="187">
        <v>4.333333333333333</v>
      </c>
      <c r="P67">
        <v>1</v>
      </c>
      <c r="Q67">
        <v>2</v>
      </c>
      <c r="R67">
        <v>3</v>
      </c>
      <c r="S67">
        <v>5</v>
      </c>
      <c r="T67">
        <v>5</v>
      </c>
      <c r="U67">
        <v>4</v>
      </c>
      <c r="V67" s="188">
        <v>3.4166666666666665</v>
      </c>
      <c r="W67">
        <v>5</v>
      </c>
      <c r="X67">
        <v>5</v>
      </c>
      <c r="Y67">
        <v>3</v>
      </c>
      <c r="Z67">
        <v>3</v>
      </c>
      <c r="AA67" s="188">
        <v>4.333333333333333</v>
      </c>
      <c r="AB67" s="337">
        <v>4.1083333333333334</v>
      </c>
      <c r="AC67" s="256">
        <v>8</v>
      </c>
    </row>
    <row r="68" spans="1:29" ht="16" x14ac:dyDescent="0.35">
      <c r="A68" s="102">
        <f>_xlfn.XLOOKUP(B68, 'Open Source Tools'!$E$3:$E$206, 'Open Source Tools'!$A$3:$A$206, "Not found")</f>
        <v>102</v>
      </c>
      <c r="B68" s="9" t="s">
        <v>1770</v>
      </c>
      <c r="C68" t="str">
        <f>INDEX('Open Source Tools'!D:D, MATCH(B68, 'Open Source Tools'!E:E, 0))</f>
        <v>Community Energy Management Systems (CEMS)</v>
      </c>
      <c r="D68">
        <v>3</v>
      </c>
      <c r="E68">
        <v>2</v>
      </c>
      <c r="F68">
        <v>2</v>
      </c>
      <c r="G68">
        <v>3</v>
      </c>
      <c r="H68">
        <v>2</v>
      </c>
      <c r="I68">
        <v>4</v>
      </c>
      <c r="J68" s="187">
        <v>2.8333333333333335</v>
      </c>
      <c r="K68">
        <v>5</v>
      </c>
      <c r="L68">
        <v>5</v>
      </c>
      <c r="M68">
        <v>4</v>
      </c>
      <c r="N68">
        <v>5</v>
      </c>
      <c r="O68" s="187">
        <v>4.7777777777777777</v>
      </c>
      <c r="P68">
        <v>2</v>
      </c>
      <c r="Q68">
        <v>2</v>
      </c>
      <c r="R68">
        <v>4</v>
      </c>
      <c r="S68">
        <v>5</v>
      </c>
      <c r="T68">
        <v>5</v>
      </c>
      <c r="U68">
        <v>3</v>
      </c>
      <c r="V68" s="188">
        <v>3.6666666666666665</v>
      </c>
      <c r="W68">
        <v>5</v>
      </c>
      <c r="X68">
        <v>5</v>
      </c>
      <c r="Y68">
        <v>3</v>
      </c>
      <c r="Z68">
        <v>3</v>
      </c>
      <c r="AA68" s="188">
        <v>4.333333333333333</v>
      </c>
      <c r="AB68" s="337">
        <v>4.0972222222222214</v>
      </c>
      <c r="AC68" s="256">
        <v>8</v>
      </c>
    </row>
    <row r="69" spans="1:29" ht="16" x14ac:dyDescent="0.35">
      <c r="A69" s="102">
        <f>_xlfn.XLOOKUP(B69, 'Open Source Tools'!$E$3:$E$206, 'Open Source Tools'!$A$3:$A$206, "Not found")</f>
        <v>150</v>
      </c>
      <c r="B69" s="9" t="s">
        <v>2458</v>
      </c>
      <c r="C69" t="str">
        <f>INDEX('Open Source Tools'!D:D, MATCH(B69, 'Open Source Tools'!E:E, 0))</f>
        <v>Community level Modelling</v>
      </c>
      <c r="D69">
        <v>4</v>
      </c>
      <c r="E69">
        <v>3</v>
      </c>
      <c r="F69">
        <v>3</v>
      </c>
      <c r="G69">
        <v>3</v>
      </c>
      <c r="H69">
        <v>3</v>
      </c>
      <c r="I69">
        <v>4</v>
      </c>
      <c r="J69" s="187">
        <v>3.4166666666666665</v>
      </c>
      <c r="K69">
        <v>5</v>
      </c>
      <c r="L69">
        <v>2</v>
      </c>
      <c r="M69">
        <v>4</v>
      </c>
      <c r="N69">
        <v>5</v>
      </c>
      <c r="O69" s="187">
        <v>4.1111111111111107</v>
      </c>
      <c r="P69">
        <v>5</v>
      </c>
      <c r="Q69">
        <v>3</v>
      </c>
      <c r="R69">
        <v>3</v>
      </c>
      <c r="S69">
        <v>5</v>
      </c>
      <c r="T69">
        <v>2</v>
      </c>
      <c r="U69">
        <v>4</v>
      </c>
      <c r="V69" s="188">
        <v>3.6666666666666665</v>
      </c>
      <c r="W69">
        <v>5</v>
      </c>
      <c r="X69">
        <v>5</v>
      </c>
      <c r="Y69">
        <v>4</v>
      </c>
      <c r="Z69">
        <v>1</v>
      </c>
      <c r="AA69" s="188">
        <v>4.416666666666667</v>
      </c>
      <c r="AB69" s="337">
        <v>4.093055555555555</v>
      </c>
      <c r="AC69" s="256">
        <v>8</v>
      </c>
    </row>
    <row r="70" spans="1:29" ht="16" x14ac:dyDescent="0.4">
      <c r="A70" s="102">
        <f>_xlfn.XLOOKUP(B70, 'Open Source Tools'!$E$3:$E$206, 'Open Source Tools'!$A$3:$A$206, "Not found")</f>
        <v>114</v>
      </c>
      <c r="B70" s="151" t="s">
        <v>1961</v>
      </c>
      <c r="C70" t="str">
        <f>INDEX('Open Source Tools'!D:D, MATCH(B70, 'Open Source Tools'!E:E, 0))</f>
        <v>Demand Response Systems</v>
      </c>
      <c r="D70">
        <v>2</v>
      </c>
      <c r="E70">
        <v>1</v>
      </c>
      <c r="F70">
        <v>2</v>
      </c>
      <c r="G70">
        <v>3</v>
      </c>
      <c r="H70">
        <v>2</v>
      </c>
      <c r="I70">
        <v>5</v>
      </c>
      <c r="J70" s="187">
        <v>2.75</v>
      </c>
      <c r="K70">
        <v>5</v>
      </c>
      <c r="L70">
        <v>5</v>
      </c>
      <c r="M70">
        <v>4</v>
      </c>
      <c r="N70">
        <v>5</v>
      </c>
      <c r="O70" s="187">
        <v>4.7777777777777777</v>
      </c>
      <c r="P70">
        <v>5</v>
      </c>
      <c r="Q70">
        <v>2</v>
      </c>
      <c r="R70">
        <v>5</v>
      </c>
      <c r="S70">
        <v>5</v>
      </c>
      <c r="T70">
        <v>5</v>
      </c>
      <c r="U70">
        <v>2</v>
      </c>
      <c r="V70" s="188">
        <v>4.25</v>
      </c>
      <c r="W70">
        <v>5</v>
      </c>
      <c r="X70">
        <v>5</v>
      </c>
      <c r="Y70">
        <v>3</v>
      </c>
      <c r="Z70">
        <v>1</v>
      </c>
      <c r="AA70" s="188">
        <v>4.166666666666667</v>
      </c>
      <c r="AB70" s="337">
        <v>4.0888888888888886</v>
      </c>
      <c r="AC70" s="256">
        <v>8</v>
      </c>
    </row>
    <row r="71" spans="1:29" ht="16" x14ac:dyDescent="0.35">
      <c r="A71" s="102">
        <f>_xlfn.XLOOKUP(B71, 'Open Source Tools'!$E$3:$E$206, 'Open Source Tools'!$A$3:$A$206, "Not found")</f>
        <v>106</v>
      </c>
      <c r="B71" s="9" t="s">
        <v>1830</v>
      </c>
      <c r="C71" t="str">
        <f>INDEX('Open Source Tools'!D:D, MATCH(B71, 'Open Source Tools'!E:E, 0))</f>
        <v>Community Energy Management Systems (CEMS)</v>
      </c>
      <c r="D71">
        <v>3</v>
      </c>
      <c r="E71">
        <v>2</v>
      </c>
      <c r="F71">
        <v>2</v>
      </c>
      <c r="G71">
        <v>4</v>
      </c>
      <c r="H71">
        <v>3</v>
      </c>
      <c r="I71">
        <v>4</v>
      </c>
      <c r="J71" s="187">
        <v>3.1666666666666665</v>
      </c>
      <c r="K71">
        <v>5</v>
      </c>
      <c r="L71">
        <v>3</v>
      </c>
      <c r="M71">
        <v>5</v>
      </c>
      <c r="N71">
        <v>5</v>
      </c>
      <c r="O71" s="187">
        <v>4.5555555555555554</v>
      </c>
      <c r="P71">
        <v>5</v>
      </c>
      <c r="Q71">
        <v>1</v>
      </c>
      <c r="R71">
        <v>1</v>
      </c>
      <c r="S71">
        <v>5</v>
      </c>
      <c r="T71">
        <v>5</v>
      </c>
      <c r="U71">
        <v>4</v>
      </c>
      <c r="V71" s="188">
        <v>3.5</v>
      </c>
      <c r="W71">
        <v>5</v>
      </c>
      <c r="X71">
        <v>5</v>
      </c>
      <c r="Y71">
        <v>3</v>
      </c>
      <c r="Z71">
        <v>3</v>
      </c>
      <c r="AA71" s="188">
        <v>4.333333333333333</v>
      </c>
      <c r="AB71" s="337">
        <v>4.0777777777777775</v>
      </c>
      <c r="AC71" s="256">
        <v>8</v>
      </c>
    </row>
    <row r="72" spans="1:29" ht="16" x14ac:dyDescent="0.4">
      <c r="A72" s="102">
        <f>_xlfn.XLOOKUP(B72, 'Open Source Tools'!$E$3:$E$206, 'Open Source Tools'!$A$3:$A$206, "Not found")</f>
        <v>97</v>
      </c>
      <c r="B72" s="151" t="s">
        <v>1695</v>
      </c>
      <c r="C72" t="str">
        <f>INDEX('Open Source Tools'!D:D, MATCH(B72, 'Open Source Tools'!E:E, 0))</f>
        <v>Community Energy Management Systems (CEMS)</v>
      </c>
      <c r="D72">
        <v>2</v>
      </c>
      <c r="E72">
        <v>2</v>
      </c>
      <c r="F72">
        <v>2</v>
      </c>
      <c r="G72">
        <v>3</v>
      </c>
      <c r="H72">
        <v>3</v>
      </c>
      <c r="I72">
        <v>4</v>
      </c>
      <c r="J72" s="187">
        <v>2.8333333333333335</v>
      </c>
      <c r="K72">
        <v>5</v>
      </c>
      <c r="L72">
        <v>5</v>
      </c>
      <c r="M72">
        <v>4</v>
      </c>
      <c r="N72">
        <v>5</v>
      </c>
      <c r="O72" s="187">
        <v>4.7777777777777777</v>
      </c>
      <c r="P72">
        <v>3</v>
      </c>
      <c r="Q72">
        <v>2</v>
      </c>
      <c r="R72">
        <v>3</v>
      </c>
      <c r="S72">
        <v>1</v>
      </c>
      <c r="T72">
        <v>1</v>
      </c>
      <c r="U72">
        <v>3</v>
      </c>
      <c r="V72" s="188">
        <v>2.25</v>
      </c>
      <c r="W72">
        <v>5</v>
      </c>
      <c r="X72">
        <v>5</v>
      </c>
      <c r="Y72">
        <v>4</v>
      </c>
      <c r="Z72">
        <v>4</v>
      </c>
      <c r="AA72" s="188">
        <v>4.666666666666667</v>
      </c>
      <c r="AB72" s="337">
        <v>4.0513888888888889</v>
      </c>
      <c r="AC72" s="256">
        <v>8</v>
      </c>
    </row>
    <row r="73" spans="1:29" ht="16" x14ac:dyDescent="0.35">
      <c r="A73" s="102">
        <f>_xlfn.XLOOKUP(B73, 'Open Source Tools'!$E$3:$E$206, 'Open Source Tools'!$A$3:$A$206, "Not found")</f>
        <v>192</v>
      </c>
      <c r="B73" s="9" t="s">
        <v>2992</v>
      </c>
      <c r="C73" t="str">
        <f>INDEX('Open Source Tools'!D:D, MATCH(B73, 'Open Source Tools'!E:E, 0))</f>
        <v>Weather Forecasting Tools</v>
      </c>
      <c r="D73">
        <v>4</v>
      </c>
      <c r="E73">
        <v>3</v>
      </c>
      <c r="F73">
        <v>3</v>
      </c>
      <c r="G73">
        <v>4</v>
      </c>
      <c r="H73">
        <v>4</v>
      </c>
      <c r="I73">
        <v>5</v>
      </c>
      <c r="J73" s="187">
        <v>4</v>
      </c>
      <c r="K73">
        <v>5</v>
      </c>
      <c r="L73">
        <v>5</v>
      </c>
      <c r="M73">
        <v>4</v>
      </c>
      <c r="N73">
        <v>5</v>
      </c>
      <c r="O73" s="187">
        <v>4.7777777777777777</v>
      </c>
      <c r="P73">
        <v>5</v>
      </c>
      <c r="Q73">
        <v>3</v>
      </c>
      <c r="R73">
        <v>4</v>
      </c>
      <c r="S73">
        <v>5</v>
      </c>
      <c r="T73">
        <v>5</v>
      </c>
      <c r="U73">
        <v>4</v>
      </c>
      <c r="V73" s="188">
        <v>4.416666666666667</v>
      </c>
      <c r="W73">
        <v>3</v>
      </c>
      <c r="X73">
        <v>5</v>
      </c>
      <c r="Y73">
        <v>4</v>
      </c>
      <c r="Z73">
        <v>2</v>
      </c>
      <c r="AA73" s="188">
        <v>3.6666666666666665</v>
      </c>
      <c r="AB73" s="337">
        <v>4.0513888888888889</v>
      </c>
      <c r="AC73" s="256">
        <v>8</v>
      </c>
    </row>
    <row r="74" spans="1:29" ht="16" customHeight="1" x14ac:dyDescent="0.35">
      <c r="A74" s="102">
        <f>_xlfn.XLOOKUP(B74, 'Open Source Tools'!$E$3:$E$206, 'Open Source Tools'!$A$3:$A$206, "Not found")</f>
        <v>185</v>
      </c>
      <c r="B74" s="9" t="s">
        <v>2901</v>
      </c>
      <c r="C74" t="str">
        <f>INDEX('Open Source Tools'!D:D, MATCH(B74, 'Open Source Tools'!E:E, 0))</f>
        <v>Automated Billing Platforms (Dynamic pricing Billing systems)</v>
      </c>
      <c r="D74">
        <v>4</v>
      </c>
      <c r="E74">
        <v>3</v>
      </c>
      <c r="F74">
        <v>3</v>
      </c>
      <c r="G74">
        <v>4</v>
      </c>
      <c r="H74">
        <v>4</v>
      </c>
      <c r="I74">
        <v>4</v>
      </c>
      <c r="J74" s="187">
        <v>3.75</v>
      </c>
      <c r="K74">
        <v>5</v>
      </c>
      <c r="L74">
        <v>3</v>
      </c>
      <c r="M74">
        <v>4</v>
      </c>
      <c r="N74">
        <v>5</v>
      </c>
      <c r="O74" s="187">
        <v>4.333333333333333</v>
      </c>
      <c r="P74">
        <v>5</v>
      </c>
      <c r="Q74">
        <v>3</v>
      </c>
      <c r="R74">
        <v>1</v>
      </c>
      <c r="S74">
        <v>5</v>
      </c>
      <c r="T74">
        <v>5</v>
      </c>
      <c r="U74">
        <v>3</v>
      </c>
      <c r="V74" s="188">
        <v>3.5</v>
      </c>
      <c r="W74">
        <v>5</v>
      </c>
      <c r="X74">
        <v>5</v>
      </c>
      <c r="Y74">
        <v>3</v>
      </c>
      <c r="Z74">
        <v>1</v>
      </c>
      <c r="AA74" s="188">
        <v>4.166666666666667</v>
      </c>
      <c r="AB74" s="337">
        <v>4.0374999999999996</v>
      </c>
      <c r="AC74" s="256">
        <v>8</v>
      </c>
    </row>
    <row r="75" spans="1:29" ht="16" customHeight="1" x14ac:dyDescent="0.35">
      <c r="A75" s="102">
        <f>_xlfn.XLOOKUP(B75, 'Open Source Tools'!$E$3:$E$206, 'Open Source Tools'!$A$3:$A$206, "Not found")</f>
        <v>172</v>
      </c>
      <c r="B75" s="9" t="s">
        <v>2739</v>
      </c>
      <c r="C75" t="str">
        <f>INDEX('Open Source Tools'!D:D, MATCH(B75, 'Open Source Tools'!E:E, 0))</f>
        <v>Energy System Simulation Tools (e.g., HOMER, PLEXOS)</v>
      </c>
      <c r="D75">
        <v>3</v>
      </c>
      <c r="E75">
        <v>2</v>
      </c>
      <c r="F75">
        <v>2</v>
      </c>
      <c r="G75">
        <v>2</v>
      </c>
      <c r="H75">
        <v>2</v>
      </c>
      <c r="I75">
        <v>5</v>
      </c>
      <c r="J75" s="187">
        <v>2.9166666666666665</v>
      </c>
      <c r="K75">
        <v>5</v>
      </c>
      <c r="L75">
        <v>4</v>
      </c>
      <c r="M75">
        <v>4</v>
      </c>
      <c r="N75">
        <v>5</v>
      </c>
      <c r="O75" s="187">
        <v>4.5555555555555554</v>
      </c>
      <c r="P75">
        <v>5</v>
      </c>
      <c r="Q75">
        <v>2</v>
      </c>
      <c r="R75">
        <v>4</v>
      </c>
      <c r="S75">
        <v>1</v>
      </c>
      <c r="T75">
        <v>1</v>
      </c>
      <c r="U75">
        <v>4</v>
      </c>
      <c r="V75" s="188">
        <v>3</v>
      </c>
      <c r="W75">
        <v>5</v>
      </c>
      <c r="X75">
        <v>5</v>
      </c>
      <c r="Y75">
        <v>4</v>
      </c>
      <c r="Z75">
        <v>1</v>
      </c>
      <c r="AA75" s="188">
        <v>4.416666666666667</v>
      </c>
      <c r="AB75" s="337">
        <v>4.0069444444444446</v>
      </c>
      <c r="AC75" s="256">
        <v>8</v>
      </c>
    </row>
    <row r="76" spans="1:29" ht="16" x14ac:dyDescent="0.35">
      <c r="A76" s="102">
        <f>_xlfn.XLOOKUP(B76, 'Open Source Tools'!$E$3:$E$206, 'Open Source Tools'!$A$3:$A$206, "Not found")</f>
        <v>156</v>
      </c>
      <c r="B76" s="9" t="s">
        <v>2538</v>
      </c>
      <c r="C76" t="str">
        <f>INDEX('Open Source Tools'!D:D, MATCH(B76, 'Open Source Tools'!E:E, 0))</f>
        <v>Individual Unit modelling</v>
      </c>
      <c r="D76">
        <v>3</v>
      </c>
      <c r="E76">
        <v>3</v>
      </c>
      <c r="F76">
        <v>3</v>
      </c>
      <c r="G76">
        <v>4</v>
      </c>
      <c r="H76">
        <v>3</v>
      </c>
      <c r="I76">
        <v>5</v>
      </c>
      <c r="J76" s="187">
        <v>3.6666666666666665</v>
      </c>
      <c r="K76">
        <v>3</v>
      </c>
      <c r="L76">
        <v>4</v>
      </c>
      <c r="M76">
        <v>1</v>
      </c>
      <c r="N76">
        <v>5</v>
      </c>
      <c r="O76" s="187">
        <v>3.2222222222222223</v>
      </c>
      <c r="P76">
        <v>5</v>
      </c>
      <c r="Q76">
        <v>3</v>
      </c>
      <c r="R76">
        <v>1</v>
      </c>
      <c r="S76">
        <v>5</v>
      </c>
      <c r="T76">
        <v>2</v>
      </c>
      <c r="U76">
        <v>4</v>
      </c>
      <c r="V76" s="188">
        <v>3.1666666666666665</v>
      </c>
      <c r="W76">
        <v>5</v>
      </c>
      <c r="X76">
        <v>5</v>
      </c>
      <c r="Y76">
        <v>4</v>
      </c>
      <c r="Z76">
        <v>4</v>
      </c>
      <c r="AA76" s="188">
        <v>4.666666666666667</v>
      </c>
      <c r="AB76" s="337">
        <v>4.0027777777777782</v>
      </c>
      <c r="AC76" s="256">
        <v>8</v>
      </c>
    </row>
    <row r="77" spans="1:29" ht="16" hidden="1" customHeight="1" x14ac:dyDescent="0.35">
      <c r="A77" s="102">
        <f>_xlfn.XLOOKUP(B77, 'Open Source Tools'!$E$3:$E$206, 'Open Source Tools'!$A$3:$A$206, "Not found")</f>
        <v>2</v>
      </c>
      <c r="B77" s="9" t="s">
        <v>529</v>
      </c>
      <c r="C77" t="str">
        <f>INDEX('Open Source Tools'!D:D, MATCH(B77, 'Open Source Tools'!E:E, 0))</f>
        <v>Smart Grids</v>
      </c>
      <c r="D77">
        <v>2</v>
      </c>
      <c r="E77">
        <v>1</v>
      </c>
      <c r="F77" s="241">
        <v>1</v>
      </c>
      <c r="G77">
        <v>3</v>
      </c>
      <c r="H77">
        <v>3</v>
      </c>
      <c r="I77">
        <v>4</v>
      </c>
      <c r="J77" s="187">
        <v>2.5833333333333335</v>
      </c>
      <c r="K77">
        <v>5</v>
      </c>
      <c r="L77">
        <v>5</v>
      </c>
      <c r="M77">
        <v>4</v>
      </c>
      <c r="N77">
        <v>5</v>
      </c>
      <c r="O77" s="187">
        <v>4.7777777777777777</v>
      </c>
      <c r="P77">
        <v>2</v>
      </c>
      <c r="Q77">
        <v>2</v>
      </c>
      <c r="R77">
        <v>4</v>
      </c>
      <c r="S77">
        <v>5</v>
      </c>
      <c r="T77">
        <v>2</v>
      </c>
      <c r="U77">
        <v>3</v>
      </c>
      <c r="V77" s="188">
        <v>3.1666666666666665</v>
      </c>
      <c r="W77">
        <v>5</v>
      </c>
      <c r="X77">
        <v>5</v>
      </c>
      <c r="Y77">
        <v>3</v>
      </c>
      <c r="Z77">
        <v>1</v>
      </c>
      <c r="AA77" s="188">
        <v>4.166666666666667</v>
      </c>
      <c r="AB77" s="337">
        <v>3.901388888888889</v>
      </c>
      <c r="AC77" s="256">
        <v>7</v>
      </c>
    </row>
    <row r="78" spans="1:29" ht="16" customHeight="1" x14ac:dyDescent="0.35">
      <c r="A78" s="102">
        <f>_xlfn.XLOOKUP(B78, 'Open Source Tools'!$E$3:$E$206, 'Open Source Tools'!$A$3:$A$206, "Not found")</f>
        <v>175</v>
      </c>
      <c r="B78" s="9" t="s">
        <v>2778</v>
      </c>
      <c r="C78" t="str">
        <f>INDEX('Open Source Tools'!D:D, MATCH(B78, 'Open Source Tools'!E:E, 0))</f>
        <v>Collaborative Decision-Making Platforms</v>
      </c>
      <c r="D78">
        <v>3</v>
      </c>
      <c r="E78">
        <v>3</v>
      </c>
      <c r="F78">
        <v>2</v>
      </c>
      <c r="G78">
        <v>4</v>
      </c>
      <c r="H78">
        <v>3</v>
      </c>
      <c r="I78">
        <v>4</v>
      </c>
      <c r="J78" s="187">
        <v>3.3333333333333335</v>
      </c>
      <c r="K78">
        <v>5</v>
      </c>
      <c r="L78">
        <v>2</v>
      </c>
      <c r="M78">
        <v>4</v>
      </c>
      <c r="N78">
        <v>5</v>
      </c>
      <c r="O78" s="187">
        <v>4.1111111111111107</v>
      </c>
      <c r="P78">
        <v>4</v>
      </c>
      <c r="Q78">
        <v>2</v>
      </c>
      <c r="R78">
        <v>2</v>
      </c>
      <c r="S78">
        <v>5</v>
      </c>
      <c r="T78">
        <v>5</v>
      </c>
      <c r="U78">
        <v>4</v>
      </c>
      <c r="V78" s="188">
        <v>3.6666666666666665</v>
      </c>
      <c r="W78">
        <v>5</v>
      </c>
      <c r="X78">
        <v>5</v>
      </c>
      <c r="Y78">
        <v>3</v>
      </c>
      <c r="Z78">
        <v>2</v>
      </c>
      <c r="AA78" s="188">
        <v>4.25</v>
      </c>
      <c r="AB78" s="337">
        <v>3.9972222222222222</v>
      </c>
      <c r="AC78" s="256">
        <v>7</v>
      </c>
    </row>
    <row r="79" spans="1:29" ht="16" x14ac:dyDescent="0.35">
      <c r="A79" s="102">
        <f>_xlfn.XLOOKUP(B79, 'Open Source Tools'!$E$3:$E$206, 'Open Source Tools'!$A$3:$A$206, "Not found")</f>
        <v>197</v>
      </c>
      <c r="B79" s="9" t="s">
        <v>3067</v>
      </c>
      <c r="C79" t="str">
        <f>INDEX('Open Source Tools'!D:D, MATCH(B79, 'Open Source Tools'!E:E, 0))</f>
        <v>Community-Based Energy Access Programs</v>
      </c>
      <c r="D79">
        <v>2</v>
      </c>
      <c r="E79">
        <v>1</v>
      </c>
      <c r="F79">
        <v>1</v>
      </c>
      <c r="G79">
        <v>3</v>
      </c>
      <c r="H79">
        <v>2</v>
      </c>
      <c r="I79">
        <v>5</v>
      </c>
      <c r="J79" s="187">
        <v>2.6666666666666665</v>
      </c>
      <c r="K79">
        <v>5</v>
      </c>
      <c r="L79">
        <v>4</v>
      </c>
      <c r="M79">
        <v>4</v>
      </c>
      <c r="N79">
        <v>5</v>
      </c>
      <c r="O79" s="187">
        <v>4.5555555555555554</v>
      </c>
      <c r="P79">
        <v>5</v>
      </c>
      <c r="Q79">
        <v>2</v>
      </c>
      <c r="R79">
        <v>1</v>
      </c>
      <c r="S79">
        <v>5</v>
      </c>
      <c r="T79">
        <v>5</v>
      </c>
      <c r="U79">
        <v>3</v>
      </c>
      <c r="V79" s="188">
        <v>3.4166666666666665</v>
      </c>
      <c r="W79">
        <v>5</v>
      </c>
      <c r="X79">
        <v>5</v>
      </c>
      <c r="Y79">
        <v>3</v>
      </c>
      <c r="Z79">
        <v>3</v>
      </c>
      <c r="AA79" s="188">
        <v>4.333333333333333</v>
      </c>
      <c r="AB79" s="337">
        <v>3.9902777777777776</v>
      </c>
      <c r="AC79" s="256">
        <v>7</v>
      </c>
    </row>
    <row r="80" spans="1:29" ht="16" x14ac:dyDescent="0.4">
      <c r="A80" s="102">
        <f>_xlfn.XLOOKUP(B80, 'Open Source Tools'!$E$3:$E$206, 'Open Source Tools'!$A$3:$A$206, "Not found")</f>
        <v>27</v>
      </c>
      <c r="B80" s="151" t="s">
        <v>838</v>
      </c>
      <c r="C80" t="str">
        <f>INDEX('Open Source Tools'!D:D, MATCH(B80, 'Open Source Tools'!E:E, 0))</f>
        <v>Mobile Apps</v>
      </c>
      <c r="D80">
        <v>2</v>
      </c>
      <c r="E80">
        <v>2</v>
      </c>
      <c r="F80">
        <v>2</v>
      </c>
      <c r="G80">
        <v>4</v>
      </c>
      <c r="H80">
        <v>2</v>
      </c>
      <c r="I80">
        <v>4</v>
      </c>
      <c r="J80" s="187">
        <v>2.8333333333333335</v>
      </c>
      <c r="K80">
        <v>5</v>
      </c>
      <c r="L80">
        <v>5</v>
      </c>
      <c r="M80">
        <v>4</v>
      </c>
      <c r="N80">
        <v>5</v>
      </c>
      <c r="O80" s="187">
        <v>4.7777777777777777</v>
      </c>
      <c r="P80">
        <v>3</v>
      </c>
      <c r="Q80">
        <v>2</v>
      </c>
      <c r="R80">
        <v>4</v>
      </c>
      <c r="S80">
        <v>5</v>
      </c>
      <c r="T80">
        <v>5</v>
      </c>
      <c r="U80">
        <v>4</v>
      </c>
      <c r="V80" s="188">
        <v>4</v>
      </c>
      <c r="W80">
        <v>5</v>
      </c>
      <c r="X80">
        <v>5</v>
      </c>
      <c r="Y80">
        <v>2</v>
      </c>
      <c r="Z80">
        <v>2</v>
      </c>
      <c r="AA80" s="188">
        <v>4</v>
      </c>
      <c r="AB80" s="337">
        <v>3.9805555555555556</v>
      </c>
      <c r="AC80" s="256">
        <v>7</v>
      </c>
    </row>
    <row r="81" spans="1:29" ht="16" hidden="1" x14ac:dyDescent="0.35">
      <c r="A81" s="102">
        <f>_xlfn.XLOOKUP(B81, 'Open Source Tools'!$E$3:$E$206, 'Open Source Tools'!$A$3:$A$206, "Not found")</f>
        <v>11</v>
      </c>
      <c r="B81" s="9" t="s">
        <v>643</v>
      </c>
      <c r="C81" t="str">
        <f>INDEX('Open Source Tools'!D:D, MATCH(B81, 'Open Source Tools'!E:E, 0))</f>
        <v>Distribution Network Operator (DNO) Management Tools</v>
      </c>
      <c r="D81">
        <v>2</v>
      </c>
      <c r="E81">
        <v>2</v>
      </c>
      <c r="F81">
        <v>2</v>
      </c>
      <c r="G81">
        <v>3</v>
      </c>
      <c r="H81">
        <v>2</v>
      </c>
      <c r="I81">
        <v>4</v>
      </c>
      <c r="J81" s="187">
        <v>2.6666666666666665</v>
      </c>
      <c r="K81">
        <v>5</v>
      </c>
      <c r="L81">
        <v>5</v>
      </c>
      <c r="M81">
        <v>1</v>
      </c>
      <c r="N81">
        <v>5</v>
      </c>
      <c r="O81" s="187">
        <v>4.1111111111111107</v>
      </c>
      <c r="P81">
        <v>3</v>
      </c>
      <c r="Q81">
        <v>2</v>
      </c>
      <c r="R81">
        <v>4</v>
      </c>
      <c r="S81">
        <v>5</v>
      </c>
      <c r="T81">
        <v>5</v>
      </c>
      <c r="U81">
        <v>3</v>
      </c>
      <c r="V81" s="188">
        <v>3.8333333333333335</v>
      </c>
      <c r="W81">
        <v>5</v>
      </c>
      <c r="X81">
        <v>5</v>
      </c>
      <c r="Y81">
        <v>3</v>
      </c>
      <c r="Z81">
        <v>3</v>
      </c>
      <c r="AA81" s="188">
        <v>4.333333333333333</v>
      </c>
      <c r="AB81" s="337">
        <v>3.9638888888888886</v>
      </c>
      <c r="AC81" s="256">
        <v>7</v>
      </c>
    </row>
    <row r="82" spans="1:29" ht="16" customHeight="1" x14ac:dyDescent="0.35">
      <c r="A82" s="102">
        <f>_xlfn.XLOOKUP(B82, 'Open Source Tools'!$E$3:$E$206, 'Open Source Tools'!$A$3:$A$206, "Not found")</f>
        <v>169</v>
      </c>
      <c r="B82" s="9" t="s">
        <v>2702</v>
      </c>
      <c r="C82" t="str">
        <f>INDEX('Open Source Tools'!D:D, MATCH(B82, 'Open Source Tools'!E:E, 0))</f>
        <v>Energy System Simulation Tools (e.g., HOMER, PLEXOS)</v>
      </c>
      <c r="D82">
        <v>3</v>
      </c>
      <c r="E82">
        <v>3</v>
      </c>
      <c r="F82">
        <v>2</v>
      </c>
      <c r="G82">
        <v>3</v>
      </c>
      <c r="H82">
        <v>3</v>
      </c>
      <c r="I82">
        <v>4</v>
      </c>
      <c r="J82" s="187">
        <v>3.1666666666666665</v>
      </c>
      <c r="K82">
        <v>3</v>
      </c>
      <c r="L82">
        <v>5</v>
      </c>
      <c r="M82">
        <v>2</v>
      </c>
      <c r="N82">
        <v>5</v>
      </c>
      <c r="O82" s="187">
        <v>3.6666666666666665</v>
      </c>
      <c r="P82">
        <v>4</v>
      </c>
      <c r="Q82">
        <v>2</v>
      </c>
      <c r="R82">
        <v>4</v>
      </c>
      <c r="S82">
        <v>5</v>
      </c>
      <c r="T82">
        <v>5</v>
      </c>
      <c r="U82">
        <v>3</v>
      </c>
      <c r="V82" s="188">
        <v>4</v>
      </c>
      <c r="W82">
        <v>5</v>
      </c>
      <c r="X82">
        <v>5</v>
      </c>
      <c r="Y82">
        <v>3</v>
      </c>
      <c r="Z82">
        <v>3</v>
      </c>
      <c r="AA82" s="188">
        <v>4.333333333333333</v>
      </c>
      <c r="AB82" s="337">
        <v>3.9750000000000001</v>
      </c>
      <c r="AC82" s="256">
        <v>7</v>
      </c>
    </row>
    <row r="83" spans="1:29" ht="16" hidden="1" x14ac:dyDescent="0.4">
      <c r="A83" s="102">
        <f>_xlfn.XLOOKUP(B83, 'Open Source Tools'!$E$3:$E$206, 'Open Source Tools'!$A$3:$A$206, "Not found")</f>
        <v>18</v>
      </c>
      <c r="B83" s="151" t="s">
        <v>716</v>
      </c>
      <c r="C83" t="str">
        <f>INDEX('Open Source Tools'!D:D, MATCH(B83, 'Open Source Tools'!E:E, 0))</f>
        <v>Community Platforms</v>
      </c>
      <c r="D83">
        <v>4</v>
      </c>
      <c r="E83">
        <v>3</v>
      </c>
      <c r="F83">
        <v>3</v>
      </c>
      <c r="G83">
        <v>4</v>
      </c>
      <c r="H83">
        <v>3</v>
      </c>
      <c r="I83">
        <v>4</v>
      </c>
      <c r="J83" s="187">
        <v>3.5833333333333335</v>
      </c>
      <c r="K83">
        <v>5</v>
      </c>
      <c r="L83">
        <v>2</v>
      </c>
      <c r="M83">
        <v>4</v>
      </c>
      <c r="N83">
        <v>5</v>
      </c>
      <c r="O83" s="187">
        <v>4.1111111111111107</v>
      </c>
      <c r="P83">
        <v>4</v>
      </c>
      <c r="Q83">
        <v>3</v>
      </c>
      <c r="R83">
        <v>4</v>
      </c>
      <c r="S83">
        <v>5</v>
      </c>
      <c r="T83">
        <v>5</v>
      </c>
      <c r="U83">
        <v>5</v>
      </c>
      <c r="V83" s="188">
        <v>4.416666666666667</v>
      </c>
      <c r="W83">
        <v>5</v>
      </c>
      <c r="X83">
        <v>1</v>
      </c>
      <c r="Y83">
        <v>4</v>
      </c>
      <c r="Z83">
        <v>1</v>
      </c>
      <c r="AA83" s="188">
        <v>3.4166666666666665</v>
      </c>
      <c r="AB83" s="337">
        <v>3.7305555555555552</v>
      </c>
      <c r="AC83" s="256">
        <v>7</v>
      </c>
    </row>
    <row r="84" spans="1:29" ht="16" hidden="1" x14ac:dyDescent="0.4">
      <c r="A84" s="102">
        <f>_xlfn.XLOOKUP(B84, 'Open Source Tools'!$E$3:$E$206, 'Open Source Tools'!$A$3:$A$206, "Not found")</f>
        <v>19</v>
      </c>
      <c r="B84" s="151" t="s">
        <v>731</v>
      </c>
      <c r="C84" t="str">
        <f>INDEX('Open Source Tools'!D:D, MATCH(B84, 'Open Source Tools'!E:E, 0))</f>
        <v>Community Platforms</v>
      </c>
      <c r="D84">
        <v>3</v>
      </c>
      <c r="E84" s="241">
        <v>1</v>
      </c>
      <c r="F84" s="241">
        <v>1</v>
      </c>
      <c r="G84">
        <v>4</v>
      </c>
      <c r="H84">
        <v>2</v>
      </c>
      <c r="I84">
        <v>5</v>
      </c>
      <c r="J84" s="187">
        <v>3</v>
      </c>
      <c r="K84">
        <v>5</v>
      </c>
      <c r="L84">
        <v>5</v>
      </c>
      <c r="M84">
        <v>4</v>
      </c>
      <c r="N84">
        <v>5</v>
      </c>
      <c r="O84" s="187">
        <v>4.7777777777777777</v>
      </c>
      <c r="P84">
        <v>4</v>
      </c>
      <c r="Q84">
        <v>3</v>
      </c>
      <c r="R84">
        <v>4</v>
      </c>
      <c r="S84">
        <v>5</v>
      </c>
      <c r="T84">
        <v>5</v>
      </c>
      <c r="U84">
        <v>4</v>
      </c>
      <c r="V84" s="188">
        <v>4.25</v>
      </c>
      <c r="W84">
        <v>5</v>
      </c>
      <c r="X84">
        <v>3</v>
      </c>
      <c r="Y84">
        <v>3</v>
      </c>
      <c r="Z84">
        <v>1</v>
      </c>
      <c r="AA84" s="188">
        <v>3.6666666666666665</v>
      </c>
      <c r="AB84" s="337">
        <v>3.8763888888888882</v>
      </c>
      <c r="AC84" s="256">
        <v>7</v>
      </c>
    </row>
    <row r="85" spans="1:29" ht="16" x14ac:dyDescent="0.35">
      <c r="A85" s="102">
        <f>_xlfn.XLOOKUP(B85, 'Open Source Tools'!$E$3:$E$206, 'Open Source Tools'!$A$3:$A$206, "Not found")</f>
        <v>183</v>
      </c>
      <c r="B85" s="9" t="s">
        <v>2873</v>
      </c>
      <c r="C85" t="str">
        <f>INDEX('Open Source Tools'!D:D, MATCH(B85, 'Open Source Tools'!E:E, 0))</f>
        <v>Automated Billing Platforms (Dynamic pricing Billing systems)</v>
      </c>
      <c r="D85">
        <v>3</v>
      </c>
      <c r="E85">
        <v>3</v>
      </c>
      <c r="F85">
        <v>3</v>
      </c>
      <c r="G85">
        <v>4</v>
      </c>
      <c r="H85">
        <v>3</v>
      </c>
      <c r="I85">
        <v>4</v>
      </c>
      <c r="J85" s="187">
        <v>3.4166666666666665</v>
      </c>
      <c r="K85">
        <v>5</v>
      </c>
      <c r="L85">
        <v>2</v>
      </c>
      <c r="M85">
        <v>4</v>
      </c>
      <c r="N85">
        <v>5</v>
      </c>
      <c r="O85" s="187">
        <v>4.1111111111111107</v>
      </c>
      <c r="P85">
        <v>4</v>
      </c>
      <c r="Q85">
        <v>1</v>
      </c>
      <c r="R85" s="241">
        <v>1</v>
      </c>
      <c r="S85">
        <v>5</v>
      </c>
      <c r="T85">
        <v>2</v>
      </c>
      <c r="U85">
        <v>4</v>
      </c>
      <c r="V85" s="188">
        <v>2.8333333333333335</v>
      </c>
      <c r="W85">
        <v>5</v>
      </c>
      <c r="X85">
        <v>5</v>
      </c>
      <c r="Y85">
        <v>4</v>
      </c>
      <c r="Z85">
        <v>1</v>
      </c>
      <c r="AA85" s="188">
        <v>4.416666666666667</v>
      </c>
      <c r="AB85" s="337">
        <v>3.9680555555555559</v>
      </c>
      <c r="AC85" s="256">
        <v>7</v>
      </c>
    </row>
    <row r="86" spans="1:29" ht="16" hidden="1" x14ac:dyDescent="0.35">
      <c r="A86" s="102">
        <f>_xlfn.XLOOKUP(B86, 'Open Source Tools'!$E$3:$E$206, 'Open Source Tools'!$A$3:$A$206, "Not found")</f>
        <v>33</v>
      </c>
      <c r="B86" s="9" t="s">
        <v>918</v>
      </c>
      <c r="C86" t="str">
        <f>INDEX('Open Source Tools'!D:D, MATCH(B86, 'Open Source Tools'!E:E, 0))</f>
        <v>Remote Monitoring Tools</v>
      </c>
      <c r="D86">
        <v>3</v>
      </c>
      <c r="E86">
        <v>2</v>
      </c>
      <c r="F86">
        <v>3</v>
      </c>
      <c r="G86">
        <v>2</v>
      </c>
      <c r="H86">
        <v>2</v>
      </c>
      <c r="I86">
        <v>4</v>
      </c>
      <c r="J86" s="187">
        <v>2.75</v>
      </c>
      <c r="K86">
        <v>5</v>
      </c>
      <c r="L86">
        <v>2</v>
      </c>
      <c r="M86">
        <v>1</v>
      </c>
      <c r="N86">
        <v>5</v>
      </c>
      <c r="O86" s="187">
        <v>3.4444444444444446</v>
      </c>
      <c r="P86">
        <v>2</v>
      </c>
      <c r="Q86">
        <v>2</v>
      </c>
      <c r="R86">
        <v>5</v>
      </c>
      <c r="S86">
        <v>1</v>
      </c>
      <c r="T86">
        <v>1</v>
      </c>
      <c r="U86">
        <v>4</v>
      </c>
      <c r="V86" s="188">
        <v>2.75</v>
      </c>
      <c r="W86">
        <v>5</v>
      </c>
      <c r="X86">
        <v>5</v>
      </c>
      <c r="Y86">
        <v>3</v>
      </c>
      <c r="Z86">
        <v>4</v>
      </c>
      <c r="AA86" s="188">
        <v>4.416666666666667</v>
      </c>
      <c r="AB86" s="337">
        <v>3.7222222222222223</v>
      </c>
      <c r="AC86" s="256">
        <v>7</v>
      </c>
    </row>
    <row r="87" spans="1:29" ht="16" hidden="1" x14ac:dyDescent="0.4">
      <c r="A87" s="102">
        <f>_xlfn.XLOOKUP(B87, 'Open Source Tools'!$E$3:$E$206, 'Open Source Tools'!$A$3:$A$206, "Not found")</f>
        <v>41</v>
      </c>
      <c r="B87" s="151" t="s">
        <v>1023</v>
      </c>
      <c r="C87" t="str">
        <f>INDEX('Open Source Tools'!D:D, MATCH(B87, 'Open Source Tools'!E:E, 0))</f>
        <v>Cybersecurity Tools for Energy Systems</v>
      </c>
      <c r="D87">
        <v>3</v>
      </c>
      <c r="E87">
        <v>2</v>
      </c>
      <c r="F87">
        <v>2</v>
      </c>
      <c r="G87">
        <v>2</v>
      </c>
      <c r="H87">
        <v>3</v>
      </c>
      <c r="I87">
        <v>4</v>
      </c>
      <c r="J87" s="187">
        <v>2.8333333333333335</v>
      </c>
      <c r="K87">
        <v>5</v>
      </c>
      <c r="L87">
        <v>2</v>
      </c>
      <c r="M87">
        <v>4</v>
      </c>
      <c r="N87">
        <v>5</v>
      </c>
      <c r="O87" s="187">
        <v>4.1111111111111107</v>
      </c>
      <c r="P87">
        <v>3</v>
      </c>
      <c r="Q87">
        <v>3</v>
      </c>
      <c r="R87">
        <v>5</v>
      </c>
      <c r="S87">
        <v>5</v>
      </c>
      <c r="T87">
        <v>5</v>
      </c>
      <c r="U87">
        <v>4</v>
      </c>
      <c r="V87" s="188">
        <v>4.333333333333333</v>
      </c>
      <c r="W87">
        <v>5</v>
      </c>
      <c r="X87">
        <v>5</v>
      </c>
      <c r="Y87">
        <v>2</v>
      </c>
      <c r="Z87">
        <v>1</v>
      </c>
      <c r="AA87" s="188">
        <v>3.9166666666666665</v>
      </c>
      <c r="AB87" s="337">
        <v>3.8555555555555552</v>
      </c>
      <c r="AC87" s="256">
        <v>7</v>
      </c>
    </row>
    <row r="88" spans="1:29" ht="16" x14ac:dyDescent="0.35">
      <c r="A88" s="102">
        <f>_xlfn.XLOOKUP(B88, 'Open Source Tools'!$E$3:$E$206, 'Open Source Tools'!$A$3:$A$206, "Not found")</f>
        <v>136</v>
      </c>
      <c r="B88" s="9" t="s">
        <v>2271</v>
      </c>
      <c r="C88" t="str">
        <f>INDEX('Open Source Tools'!D:D, MATCH(B88, 'Open Source Tools'!E:E, 0))</f>
        <v>Energy Analytics Platforms</v>
      </c>
      <c r="D88">
        <v>2</v>
      </c>
      <c r="E88">
        <v>1</v>
      </c>
      <c r="F88">
        <v>1</v>
      </c>
      <c r="G88">
        <v>3</v>
      </c>
      <c r="H88">
        <v>2</v>
      </c>
      <c r="I88">
        <v>3</v>
      </c>
      <c r="J88" s="187">
        <v>2.1666666666666665</v>
      </c>
      <c r="K88">
        <v>5</v>
      </c>
      <c r="L88">
        <v>5</v>
      </c>
      <c r="M88">
        <v>4</v>
      </c>
      <c r="N88">
        <v>5</v>
      </c>
      <c r="O88" s="187">
        <v>4.7777777777777777</v>
      </c>
      <c r="P88">
        <v>5</v>
      </c>
      <c r="Q88">
        <v>1</v>
      </c>
      <c r="R88" s="241">
        <v>1</v>
      </c>
      <c r="S88">
        <v>5</v>
      </c>
      <c r="T88">
        <v>5</v>
      </c>
      <c r="U88">
        <v>2</v>
      </c>
      <c r="V88" s="188">
        <v>3.1666666666666665</v>
      </c>
      <c r="W88">
        <v>5</v>
      </c>
      <c r="X88">
        <v>5</v>
      </c>
      <c r="Y88">
        <v>4</v>
      </c>
      <c r="Z88">
        <v>1</v>
      </c>
      <c r="AA88" s="188">
        <v>4.416666666666667</v>
      </c>
      <c r="AB88" s="337">
        <v>3.963888888888889</v>
      </c>
      <c r="AC88" s="256">
        <v>7</v>
      </c>
    </row>
    <row r="89" spans="1:29" ht="16" x14ac:dyDescent="0.35">
      <c r="A89" s="102">
        <f>_xlfn.XLOOKUP(B89, 'Open Source Tools'!$E$3:$E$206, 'Open Source Tools'!$A$3:$A$206, "Not found")</f>
        <v>131</v>
      </c>
      <c r="B89" s="9" t="s">
        <v>2204</v>
      </c>
      <c r="C89" t="str">
        <f>INDEX('Open Source Tools'!D:D, MATCH(B89, 'Open Source Tools'!E:E, 0))</f>
        <v>Energy Analytics Platforms</v>
      </c>
      <c r="D89">
        <v>2</v>
      </c>
      <c r="E89">
        <v>1</v>
      </c>
      <c r="F89">
        <v>2</v>
      </c>
      <c r="G89">
        <v>2</v>
      </c>
      <c r="H89">
        <v>2</v>
      </c>
      <c r="I89">
        <v>1</v>
      </c>
      <c r="J89" s="187">
        <v>1.5833333333333333</v>
      </c>
      <c r="K89">
        <v>5</v>
      </c>
      <c r="L89">
        <v>4</v>
      </c>
      <c r="M89">
        <v>1</v>
      </c>
      <c r="N89">
        <v>5</v>
      </c>
      <c r="O89" s="187">
        <v>3.8888888888888888</v>
      </c>
      <c r="P89">
        <v>4</v>
      </c>
      <c r="Q89">
        <v>2</v>
      </c>
      <c r="R89">
        <v>5</v>
      </c>
      <c r="S89">
        <v>5</v>
      </c>
      <c r="T89">
        <v>5</v>
      </c>
      <c r="U89">
        <v>2</v>
      </c>
      <c r="V89" s="188">
        <v>4.083333333333333</v>
      </c>
      <c r="W89">
        <v>5</v>
      </c>
      <c r="X89">
        <v>5</v>
      </c>
      <c r="Y89">
        <v>4</v>
      </c>
      <c r="Z89">
        <v>4</v>
      </c>
      <c r="AA89" s="188">
        <v>4.666666666666667</v>
      </c>
      <c r="AB89" s="337">
        <v>3.9611111111111112</v>
      </c>
      <c r="AC89" s="256">
        <v>7</v>
      </c>
    </row>
    <row r="90" spans="1:29" ht="16" hidden="1" x14ac:dyDescent="0.35">
      <c r="A90" s="102">
        <f>_xlfn.XLOOKUP(B90, 'Open Source Tools'!$E$3:$E$206, 'Open Source Tools'!$A$3:$A$206, "Not found")</f>
        <v>65</v>
      </c>
      <c r="B90" s="9" t="s">
        <v>1317</v>
      </c>
      <c r="C90" t="str">
        <f>INDEX('Open Source Tools'!D:D, MATCH(B90, 'Open Source Tools'!E:E, 0))</f>
        <v>Big Data Platforms</v>
      </c>
      <c r="D90">
        <v>4</v>
      </c>
      <c r="E90">
        <v>4</v>
      </c>
      <c r="F90">
        <v>4</v>
      </c>
      <c r="G90">
        <v>4</v>
      </c>
      <c r="H90">
        <v>4</v>
      </c>
      <c r="I90">
        <v>3</v>
      </c>
      <c r="J90" s="187">
        <v>3.75</v>
      </c>
      <c r="K90">
        <v>5</v>
      </c>
      <c r="L90">
        <v>2</v>
      </c>
      <c r="M90">
        <v>4</v>
      </c>
      <c r="N90">
        <v>5</v>
      </c>
      <c r="O90" s="187">
        <v>4.1111111111111107</v>
      </c>
      <c r="P90">
        <v>4</v>
      </c>
      <c r="Q90">
        <v>1</v>
      </c>
      <c r="R90">
        <v>1</v>
      </c>
      <c r="S90">
        <v>1</v>
      </c>
      <c r="T90">
        <v>1</v>
      </c>
      <c r="U90">
        <v>2</v>
      </c>
      <c r="V90" s="188">
        <v>1.6666666666666667</v>
      </c>
      <c r="W90">
        <v>5</v>
      </c>
      <c r="X90">
        <v>3</v>
      </c>
      <c r="Y90">
        <v>4</v>
      </c>
      <c r="Z90">
        <v>1</v>
      </c>
      <c r="AA90" s="188">
        <v>3.9166666666666665</v>
      </c>
      <c r="AB90" s="337">
        <v>3.5930555555555554</v>
      </c>
      <c r="AC90" s="256">
        <v>7</v>
      </c>
    </row>
    <row r="91" spans="1:29" ht="16" hidden="1" x14ac:dyDescent="0.35">
      <c r="A91" s="102">
        <f>_xlfn.XLOOKUP(B91, 'Open Source Tools'!$E$3:$E$206, 'Open Source Tools'!$A$3:$A$206, "Not found")</f>
        <v>69</v>
      </c>
      <c r="B91" s="9" t="s">
        <v>1363</v>
      </c>
      <c r="C91" t="str">
        <f>INDEX('Open Source Tools'!D:D, MATCH(B91, 'Open Source Tools'!E:E, 0))</f>
        <v>GIS (Geographic Information Systems)</v>
      </c>
      <c r="D91">
        <v>2</v>
      </c>
      <c r="E91">
        <v>1</v>
      </c>
      <c r="F91">
        <v>1</v>
      </c>
      <c r="G91">
        <v>3</v>
      </c>
      <c r="H91">
        <v>2</v>
      </c>
      <c r="I91">
        <v>4</v>
      </c>
      <c r="J91" s="187">
        <v>2.4166666666666665</v>
      </c>
      <c r="K91">
        <v>5</v>
      </c>
      <c r="L91">
        <v>5</v>
      </c>
      <c r="M91">
        <v>4</v>
      </c>
      <c r="N91">
        <v>5</v>
      </c>
      <c r="O91" s="187">
        <v>4.7777777777777777</v>
      </c>
      <c r="P91">
        <v>4</v>
      </c>
      <c r="Q91">
        <v>2</v>
      </c>
      <c r="R91">
        <v>5</v>
      </c>
      <c r="S91">
        <v>5</v>
      </c>
      <c r="T91">
        <v>5</v>
      </c>
      <c r="U91">
        <v>2</v>
      </c>
      <c r="V91" s="188">
        <v>4.083333333333333</v>
      </c>
      <c r="W91">
        <v>5</v>
      </c>
      <c r="X91">
        <v>3</v>
      </c>
      <c r="Y91">
        <v>3</v>
      </c>
      <c r="Z91">
        <v>4</v>
      </c>
      <c r="AA91" s="188">
        <v>3.9166666666666665</v>
      </c>
      <c r="AB91" s="337">
        <v>3.8888888888888884</v>
      </c>
      <c r="AC91" s="256">
        <v>7</v>
      </c>
    </row>
    <row r="92" spans="1:29" ht="16" hidden="1" x14ac:dyDescent="0.4">
      <c r="A92" s="102">
        <f>_xlfn.XLOOKUP(B92, 'Open Source Tools'!$E$3:$E$206, 'Open Source Tools'!$A$3:$A$206, "Not found")</f>
        <v>71</v>
      </c>
      <c r="B92" s="151" t="s">
        <v>1388</v>
      </c>
      <c r="C92" t="str">
        <f>INDEX('Open Source Tools'!D:D, MATCH(B92, 'Open Source Tools'!E:E, 0))</f>
        <v>GIS (Geographic Information Systems)</v>
      </c>
      <c r="D92">
        <v>2</v>
      </c>
      <c r="E92">
        <v>2</v>
      </c>
      <c r="F92">
        <v>2</v>
      </c>
      <c r="G92">
        <v>2</v>
      </c>
      <c r="H92">
        <v>2</v>
      </c>
      <c r="I92">
        <v>3</v>
      </c>
      <c r="J92" s="187">
        <v>2.25</v>
      </c>
      <c r="K92">
        <v>5</v>
      </c>
      <c r="L92">
        <v>2</v>
      </c>
      <c r="M92">
        <v>4</v>
      </c>
      <c r="N92">
        <v>5</v>
      </c>
      <c r="O92" s="187">
        <v>4.1111111111111107</v>
      </c>
      <c r="P92">
        <v>4</v>
      </c>
      <c r="Q92">
        <v>2</v>
      </c>
      <c r="R92">
        <v>4</v>
      </c>
      <c r="S92">
        <v>5</v>
      </c>
      <c r="T92">
        <v>2</v>
      </c>
      <c r="U92">
        <v>4</v>
      </c>
      <c r="V92" s="188">
        <v>3.6666666666666665</v>
      </c>
      <c r="W92">
        <v>5</v>
      </c>
      <c r="X92">
        <v>5</v>
      </c>
      <c r="Y92">
        <v>3</v>
      </c>
      <c r="Z92">
        <v>4</v>
      </c>
      <c r="AA92" s="188">
        <v>4.416666666666667</v>
      </c>
      <c r="AB92" s="337">
        <v>3.9180555555555556</v>
      </c>
      <c r="AC92" s="256">
        <v>7</v>
      </c>
    </row>
    <row r="93" spans="1:29" ht="16" x14ac:dyDescent="0.35">
      <c r="A93" s="102">
        <f>_xlfn.XLOOKUP(B93, 'Open Source Tools'!$E$3:$E$206, 'Open Source Tools'!$A$3:$A$206, "Not found")</f>
        <v>9</v>
      </c>
      <c r="B93" s="9" t="s">
        <v>618</v>
      </c>
      <c r="C93" t="str">
        <f>INDEX('Open Source Tools'!D:D, MATCH(B93, 'Open Source Tools'!E:E, 0))</f>
        <v>Energy Trading Tool</v>
      </c>
      <c r="D93">
        <v>2</v>
      </c>
      <c r="E93">
        <v>1</v>
      </c>
      <c r="F93" s="241">
        <v>1</v>
      </c>
      <c r="G93">
        <v>3</v>
      </c>
      <c r="H93">
        <v>2</v>
      </c>
      <c r="I93">
        <v>5</v>
      </c>
      <c r="J93" s="187">
        <v>2.6666666666666665</v>
      </c>
      <c r="K93">
        <v>5</v>
      </c>
      <c r="L93">
        <v>5</v>
      </c>
      <c r="M93">
        <v>4</v>
      </c>
      <c r="N93">
        <v>5</v>
      </c>
      <c r="O93" s="187">
        <v>4.7777777777777777</v>
      </c>
      <c r="P93">
        <v>1</v>
      </c>
      <c r="Q93">
        <v>2</v>
      </c>
      <c r="R93">
        <v>4</v>
      </c>
      <c r="S93">
        <v>5</v>
      </c>
      <c r="T93">
        <v>5</v>
      </c>
      <c r="U93">
        <v>2</v>
      </c>
      <c r="V93" s="188">
        <v>3.3333333333333335</v>
      </c>
      <c r="W93">
        <v>5</v>
      </c>
      <c r="X93">
        <v>5</v>
      </c>
      <c r="Y93">
        <v>3</v>
      </c>
      <c r="Z93">
        <v>1</v>
      </c>
      <c r="AA93" s="188">
        <v>4.166666666666667</v>
      </c>
      <c r="AB93" s="337">
        <v>3.9388888888888891</v>
      </c>
      <c r="AC93" s="256">
        <v>7</v>
      </c>
    </row>
    <row r="94" spans="1:29" ht="16" hidden="1" x14ac:dyDescent="0.35">
      <c r="A94" s="102">
        <f>_xlfn.XLOOKUP(B94, 'Open Source Tools'!$E$3:$E$206, 'Open Source Tools'!$A$3:$A$206, "Not found")</f>
        <v>83</v>
      </c>
      <c r="B94" s="9" t="s">
        <v>1533</v>
      </c>
      <c r="C94" t="str">
        <f>INDEX('Open Source Tools'!D:D, MATCH(B94, 'Open Source Tools'!E:E, 0))</f>
        <v>Time-Series Data Analysis Tools</v>
      </c>
      <c r="D94">
        <v>4</v>
      </c>
      <c r="E94">
        <v>3</v>
      </c>
      <c r="F94">
        <v>3</v>
      </c>
      <c r="G94">
        <v>3</v>
      </c>
      <c r="H94">
        <v>3</v>
      </c>
      <c r="I94">
        <v>4</v>
      </c>
      <c r="J94" s="187">
        <v>3.4166666666666665</v>
      </c>
      <c r="K94">
        <v>5</v>
      </c>
      <c r="L94">
        <v>3</v>
      </c>
      <c r="M94">
        <v>4</v>
      </c>
      <c r="N94">
        <v>3</v>
      </c>
      <c r="O94" s="187">
        <v>3.8888888888888888</v>
      </c>
      <c r="P94">
        <v>3</v>
      </c>
      <c r="Q94">
        <v>2</v>
      </c>
      <c r="R94">
        <v>3</v>
      </c>
      <c r="S94">
        <v>5</v>
      </c>
      <c r="T94">
        <v>2</v>
      </c>
      <c r="U94">
        <v>2</v>
      </c>
      <c r="V94" s="188">
        <v>2.9166666666666665</v>
      </c>
      <c r="W94">
        <v>5</v>
      </c>
      <c r="X94">
        <v>3</v>
      </c>
      <c r="Y94">
        <v>4</v>
      </c>
      <c r="Z94">
        <v>2</v>
      </c>
      <c r="AA94" s="188">
        <v>4</v>
      </c>
      <c r="AB94" s="337">
        <v>3.7277777777777779</v>
      </c>
      <c r="AC94" s="256">
        <v>7</v>
      </c>
    </row>
    <row r="95" spans="1:29" ht="16" hidden="1" x14ac:dyDescent="0.35">
      <c r="A95" s="102">
        <f>_xlfn.XLOOKUP(B95, 'Open Source Tools'!$E$3:$E$206, 'Open Source Tools'!$A$3:$A$206, "Not found")</f>
        <v>87</v>
      </c>
      <c r="B95" s="9" t="s">
        <v>1581</v>
      </c>
      <c r="C95" t="str">
        <f>INDEX('Open Source Tools'!D:D, MATCH(B95, 'Open Source Tools'!E:E, 0))</f>
        <v>Time-Series Data Analysis Tools</v>
      </c>
      <c r="D95">
        <v>3</v>
      </c>
      <c r="E95">
        <v>3</v>
      </c>
      <c r="F95">
        <v>2</v>
      </c>
      <c r="G95">
        <v>2</v>
      </c>
      <c r="H95">
        <v>2</v>
      </c>
      <c r="I95">
        <v>3</v>
      </c>
      <c r="J95" s="187">
        <v>2.5833333333333335</v>
      </c>
      <c r="K95">
        <v>5</v>
      </c>
      <c r="L95">
        <v>4</v>
      </c>
      <c r="M95">
        <v>1</v>
      </c>
      <c r="N95">
        <v>5</v>
      </c>
      <c r="O95" s="187">
        <v>3.8888888888888888</v>
      </c>
      <c r="P95">
        <v>5</v>
      </c>
      <c r="Q95">
        <v>2</v>
      </c>
      <c r="R95">
        <v>4</v>
      </c>
      <c r="S95">
        <v>1</v>
      </c>
      <c r="T95">
        <v>2</v>
      </c>
      <c r="U95">
        <v>3</v>
      </c>
      <c r="V95" s="188">
        <v>3</v>
      </c>
      <c r="W95">
        <v>5</v>
      </c>
      <c r="X95">
        <v>5</v>
      </c>
      <c r="Y95">
        <v>3</v>
      </c>
      <c r="Z95">
        <v>3</v>
      </c>
      <c r="AA95" s="188">
        <v>4.333333333333333</v>
      </c>
      <c r="AB95" s="337">
        <v>3.7819444444444441</v>
      </c>
      <c r="AC95" s="256">
        <v>7</v>
      </c>
    </row>
    <row r="96" spans="1:29" ht="16" x14ac:dyDescent="0.35">
      <c r="A96" s="102">
        <f>_xlfn.XLOOKUP(B96, 'Open Source Tools'!$E$3:$E$206, 'Open Source Tools'!$A$3:$A$206, "Not found")</f>
        <v>204</v>
      </c>
      <c r="B96" s="362" t="s">
        <v>3421</v>
      </c>
      <c r="C96" t="str">
        <f>INDEX('Open Source Tools'!D:D, MATCH(B96, 'Open Source Tools'!E:E, 0))</f>
        <v>Smart Charging Algorithms</v>
      </c>
      <c r="D96">
        <v>3</v>
      </c>
      <c r="E96">
        <v>2</v>
      </c>
      <c r="F96">
        <v>2</v>
      </c>
      <c r="G96">
        <v>1</v>
      </c>
      <c r="H96">
        <v>2</v>
      </c>
      <c r="I96">
        <v>3</v>
      </c>
      <c r="J96" s="187">
        <f>(D96*1 + E96*1 + F96*0.5 + G96*1 + H96*1 + I96*1.5) / (1 + 1 + 0.5 + 1 + 1 + 1.5)</f>
        <v>2.25</v>
      </c>
      <c r="K96">
        <v>5</v>
      </c>
      <c r="L96">
        <v>2</v>
      </c>
      <c r="M96">
        <v>5</v>
      </c>
      <c r="N96">
        <v>5</v>
      </c>
      <c r="O96" s="187">
        <f>(K96*1.5 + L96*1 + M96*1 + N96*1) / (1.5 + 1 + 1 + 1)</f>
        <v>4.333333333333333</v>
      </c>
      <c r="P96">
        <v>5</v>
      </c>
      <c r="Q96">
        <v>1</v>
      </c>
      <c r="R96">
        <v>4</v>
      </c>
      <c r="S96">
        <v>5</v>
      </c>
      <c r="T96">
        <v>5</v>
      </c>
      <c r="U96">
        <v>2</v>
      </c>
      <c r="V96" s="188">
        <f>(P96*1 + Q96*0.5 + R96*1.5 + S96*1 + T96*1 + U96*1) / (1 + 0.5 + 1.5 + 1 +1 +1)</f>
        <v>3.9166666666666665</v>
      </c>
      <c r="W96">
        <v>5</v>
      </c>
      <c r="X96">
        <v>3</v>
      </c>
      <c r="Y96">
        <v>4</v>
      </c>
      <c r="Z96">
        <v>5</v>
      </c>
      <c r="AA96" s="188">
        <f>(W96*2.5 + X96*1.5 + Y96*1.5 + Z96*0.5) / (2.5 + 1.5 + 1.5 + 0.5)</f>
        <v>4.25</v>
      </c>
      <c r="AB96" s="377">
        <f>J96*0.15 + O96*0.2 + V96*0.15 + AA96*0.5</f>
        <v>3.9166666666666665</v>
      </c>
      <c r="AC96" s="256" cm="1">
        <f t="array" ref="AC96">+_xlfn.IFS(
  AND(AB96&gt;=1, AB96&lt;1.5), 1,
  AND(AB96&gt;=1.5, AB96&lt;2), 2,
  AND(AB96&gt;=2, AB96&lt;2.3), 3,
  AND(AB96&gt;=2.3, AB96&lt;2.6), 4,
  AND(AB96&gt;=2.6, AB96&lt;3), 5,
  AND(AB96&gt;=3, AB96&lt;3.5), 6,
  AND(AB96&gt;=3.5, AB96&lt;4), 7,
  AND(AB96&gt;=4, AB96&lt;=4.499), 8,
  AND(AB96&gt;=4.5, AB96&lt;=5), 9
)</f>
        <v>7</v>
      </c>
    </row>
    <row r="97" spans="1:29" ht="16" x14ac:dyDescent="0.35">
      <c r="A97" s="102">
        <f>_xlfn.XLOOKUP(B97, 'Open Source Tools'!$E$3:$E$206, 'Open Source Tools'!$A$3:$A$206, "Not found")</f>
        <v>158</v>
      </c>
      <c r="B97" s="9" t="s">
        <v>2565</v>
      </c>
      <c r="C97" t="str">
        <f>INDEX('Open Source Tools'!D:D, MATCH(B97, 'Open Source Tools'!E:E, 0))</f>
        <v>Individual Unit modelling</v>
      </c>
      <c r="D97">
        <v>2</v>
      </c>
      <c r="E97">
        <v>2</v>
      </c>
      <c r="F97">
        <v>2</v>
      </c>
      <c r="G97">
        <v>2</v>
      </c>
      <c r="H97">
        <v>3</v>
      </c>
      <c r="I97">
        <v>3</v>
      </c>
      <c r="J97" s="187">
        <v>2.4166666666666665</v>
      </c>
      <c r="K97">
        <v>5</v>
      </c>
      <c r="L97">
        <v>5</v>
      </c>
      <c r="M97">
        <v>1</v>
      </c>
      <c r="N97">
        <v>5</v>
      </c>
      <c r="O97" s="187">
        <v>4.1111111111111107</v>
      </c>
      <c r="P97">
        <v>3</v>
      </c>
      <c r="Q97">
        <v>2</v>
      </c>
      <c r="R97">
        <v>4</v>
      </c>
      <c r="S97">
        <v>5</v>
      </c>
      <c r="T97">
        <v>2</v>
      </c>
      <c r="U97">
        <v>3</v>
      </c>
      <c r="V97" s="188">
        <v>3.3333333333333335</v>
      </c>
      <c r="W97">
        <v>5</v>
      </c>
      <c r="X97">
        <v>5</v>
      </c>
      <c r="Y97">
        <v>3</v>
      </c>
      <c r="Z97">
        <v>4</v>
      </c>
      <c r="AA97" s="188">
        <v>4.416666666666667</v>
      </c>
      <c r="AB97" s="337">
        <v>3.8930555555555557</v>
      </c>
      <c r="AC97" s="256">
        <v>7</v>
      </c>
    </row>
    <row r="98" spans="1:29" ht="16" x14ac:dyDescent="0.35">
      <c r="A98" s="102">
        <f>_xlfn.XLOOKUP(B98, 'Open Source Tools'!$E$3:$E$206, 'Open Source Tools'!$A$3:$A$206, "Not found")</f>
        <v>127</v>
      </c>
      <c r="B98" s="9" t="s">
        <v>2148</v>
      </c>
      <c r="C98" t="str">
        <f>INDEX('Open Source Tools'!D:D, MATCH(B98, 'Open Source Tools'!E:E, 0))</f>
        <v>Real-Time Energy Monitoring Platforms</v>
      </c>
      <c r="D98">
        <v>2</v>
      </c>
      <c r="E98">
        <v>2</v>
      </c>
      <c r="F98">
        <v>2</v>
      </c>
      <c r="G98">
        <v>2</v>
      </c>
      <c r="H98">
        <v>2</v>
      </c>
      <c r="I98">
        <v>3</v>
      </c>
      <c r="J98" s="187">
        <v>2.25</v>
      </c>
      <c r="K98">
        <v>5</v>
      </c>
      <c r="L98">
        <v>2</v>
      </c>
      <c r="M98">
        <v>4</v>
      </c>
      <c r="N98">
        <v>5</v>
      </c>
      <c r="O98" s="187">
        <v>4.1111111111111107</v>
      </c>
      <c r="P98">
        <v>5</v>
      </c>
      <c r="Q98">
        <v>2</v>
      </c>
      <c r="R98">
        <v>1</v>
      </c>
      <c r="S98">
        <v>5</v>
      </c>
      <c r="T98">
        <v>2</v>
      </c>
      <c r="U98">
        <v>3</v>
      </c>
      <c r="V98" s="188">
        <v>2.9166666666666665</v>
      </c>
      <c r="W98">
        <v>5</v>
      </c>
      <c r="X98">
        <v>5</v>
      </c>
      <c r="Y98">
        <v>4</v>
      </c>
      <c r="Z98">
        <v>3</v>
      </c>
      <c r="AA98" s="188">
        <v>4.583333333333333</v>
      </c>
      <c r="AB98" s="337">
        <v>3.8888888888888884</v>
      </c>
      <c r="AC98" s="256">
        <v>7</v>
      </c>
    </row>
    <row r="99" spans="1:29" ht="16" x14ac:dyDescent="0.35">
      <c r="A99" s="102">
        <f>_xlfn.XLOOKUP(B99, 'Open Source Tools'!$E$3:$E$206, 'Open Source Tools'!$A$3:$A$206, "Not found")</f>
        <v>109</v>
      </c>
      <c r="B99" s="9" t="s">
        <v>1874</v>
      </c>
      <c r="C99" t="str">
        <f>INDEX('Open Source Tools'!D:D, MATCH(B99, 'Open Source Tools'!E:E, 0))</f>
        <v>Home Energy Management Systems (HEMS)</v>
      </c>
      <c r="D99">
        <v>3</v>
      </c>
      <c r="E99">
        <v>3</v>
      </c>
      <c r="F99">
        <v>3</v>
      </c>
      <c r="G99">
        <v>3</v>
      </c>
      <c r="H99">
        <v>3</v>
      </c>
      <c r="I99">
        <v>3</v>
      </c>
      <c r="J99" s="187">
        <v>3</v>
      </c>
      <c r="K99">
        <v>5</v>
      </c>
      <c r="L99">
        <v>3</v>
      </c>
      <c r="M99">
        <v>4</v>
      </c>
      <c r="N99">
        <v>5</v>
      </c>
      <c r="O99" s="187">
        <v>4.333333333333333</v>
      </c>
      <c r="P99">
        <v>4</v>
      </c>
      <c r="Q99">
        <v>2</v>
      </c>
      <c r="R99">
        <v>5</v>
      </c>
      <c r="S99">
        <v>1</v>
      </c>
      <c r="T99">
        <v>1</v>
      </c>
      <c r="U99">
        <v>3</v>
      </c>
      <c r="V99" s="188">
        <v>2.9166666666666665</v>
      </c>
      <c r="W99">
        <v>5</v>
      </c>
      <c r="X99">
        <v>3</v>
      </c>
      <c r="Y99">
        <v>4</v>
      </c>
      <c r="Z99">
        <v>5</v>
      </c>
      <c r="AA99" s="188">
        <v>4.25</v>
      </c>
      <c r="AB99" s="337">
        <v>3.8791666666666664</v>
      </c>
      <c r="AC99" s="256">
        <v>7</v>
      </c>
    </row>
    <row r="100" spans="1:29" ht="16" customHeight="1" x14ac:dyDescent="0.35">
      <c r="A100" s="102">
        <f>_xlfn.XLOOKUP(B100, 'Open Source Tools'!$E$3:$E$206, 'Open Source Tools'!$A$3:$A$206, "Not found")</f>
        <v>144</v>
      </c>
      <c r="B100" s="9" t="s">
        <v>2376</v>
      </c>
      <c r="C100" t="str">
        <f>INDEX('Open Source Tools'!D:D, MATCH(B100, 'Open Source Tools'!E:E, 0))</f>
        <v>Community level Modelling</v>
      </c>
      <c r="D100">
        <v>3</v>
      </c>
      <c r="E100">
        <v>3</v>
      </c>
      <c r="F100">
        <v>3</v>
      </c>
      <c r="G100">
        <v>2</v>
      </c>
      <c r="H100">
        <v>2</v>
      </c>
      <c r="I100">
        <v>3</v>
      </c>
      <c r="J100" s="187">
        <v>2.6666666666666665</v>
      </c>
      <c r="K100">
        <v>5</v>
      </c>
      <c r="L100">
        <v>5</v>
      </c>
      <c r="M100">
        <v>4</v>
      </c>
      <c r="N100">
        <v>5</v>
      </c>
      <c r="O100" s="187">
        <v>4.7777777777777777</v>
      </c>
      <c r="P100">
        <v>3</v>
      </c>
      <c r="Q100">
        <v>2</v>
      </c>
      <c r="R100">
        <v>2</v>
      </c>
      <c r="S100">
        <v>1</v>
      </c>
      <c r="T100">
        <v>2</v>
      </c>
      <c r="U100">
        <v>2</v>
      </c>
      <c r="V100" s="188">
        <v>2</v>
      </c>
      <c r="W100">
        <v>5</v>
      </c>
      <c r="X100">
        <v>5</v>
      </c>
      <c r="Y100">
        <v>3</v>
      </c>
      <c r="Z100">
        <v>4</v>
      </c>
      <c r="AA100" s="188">
        <v>4.416666666666667</v>
      </c>
      <c r="AB100" s="337">
        <v>3.8638888888888889</v>
      </c>
      <c r="AC100" s="256">
        <v>7</v>
      </c>
    </row>
    <row r="101" spans="1:29" ht="16" x14ac:dyDescent="0.35">
      <c r="A101" s="102">
        <f>_xlfn.XLOOKUP(B101, 'Open Source Tools'!$E$3:$E$206, 'Open Source Tools'!$A$3:$A$206, "Not found")</f>
        <v>116</v>
      </c>
      <c r="B101" s="9" t="s">
        <v>1988</v>
      </c>
      <c r="C101" t="str">
        <f>INDEX('Open Source Tools'!D:D, MATCH(B101, 'Open Source Tools'!E:E, 0))</f>
        <v>Demand Response Systems</v>
      </c>
      <c r="D101">
        <v>1</v>
      </c>
      <c r="E101">
        <v>1</v>
      </c>
      <c r="F101">
        <v>1</v>
      </c>
      <c r="G101">
        <v>3</v>
      </c>
      <c r="H101">
        <v>1</v>
      </c>
      <c r="I101">
        <v>4</v>
      </c>
      <c r="J101" s="187">
        <v>2.0833333333333335</v>
      </c>
      <c r="K101">
        <v>5</v>
      </c>
      <c r="L101">
        <v>2</v>
      </c>
      <c r="M101">
        <v>5</v>
      </c>
      <c r="N101">
        <v>5</v>
      </c>
      <c r="O101" s="187">
        <v>4.333333333333333</v>
      </c>
      <c r="P101">
        <v>4</v>
      </c>
      <c r="Q101">
        <v>2</v>
      </c>
      <c r="R101">
        <v>2</v>
      </c>
      <c r="S101">
        <v>5</v>
      </c>
      <c r="T101">
        <v>5</v>
      </c>
      <c r="U101">
        <v>1</v>
      </c>
      <c r="V101" s="188">
        <v>3.1666666666666665</v>
      </c>
      <c r="W101">
        <v>5</v>
      </c>
      <c r="X101">
        <v>5</v>
      </c>
      <c r="Y101">
        <v>3</v>
      </c>
      <c r="Z101">
        <v>4</v>
      </c>
      <c r="AA101" s="188">
        <v>4.416666666666667</v>
      </c>
      <c r="AB101" s="337">
        <v>3.8625000000000003</v>
      </c>
      <c r="AC101" s="256">
        <v>7</v>
      </c>
    </row>
    <row r="102" spans="1:29" ht="16" x14ac:dyDescent="0.35">
      <c r="A102" s="102">
        <f>_xlfn.XLOOKUP(B102, 'Open Source Tools'!$E$3:$E$206, 'Open Source Tools'!$A$3:$A$206, "Not found")</f>
        <v>184</v>
      </c>
      <c r="B102" s="9" t="s">
        <v>2886</v>
      </c>
      <c r="C102" t="str">
        <f>INDEX('Open Source Tools'!D:D, MATCH(B102, 'Open Source Tools'!E:E, 0))</f>
        <v>Automated Billing Platforms (Dynamic pricing Billing systems)</v>
      </c>
      <c r="D102">
        <v>2</v>
      </c>
      <c r="E102">
        <v>2</v>
      </c>
      <c r="F102">
        <v>2</v>
      </c>
      <c r="G102">
        <v>1</v>
      </c>
      <c r="H102">
        <v>1</v>
      </c>
      <c r="I102">
        <v>1</v>
      </c>
      <c r="J102" s="187">
        <v>1.4166666666666667</v>
      </c>
      <c r="K102">
        <v>5</v>
      </c>
      <c r="L102">
        <v>5</v>
      </c>
      <c r="M102">
        <v>4</v>
      </c>
      <c r="N102">
        <v>5</v>
      </c>
      <c r="O102" s="187">
        <v>4.7777777777777777</v>
      </c>
      <c r="P102">
        <v>4</v>
      </c>
      <c r="Q102">
        <v>1</v>
      </c>
      <c r="R102">
        <v>5</v>
      </c>
      <c r="S102">
        <v>5</v>
      </c>
      <c r="T102">
        <v>5</v>
      </c>
      <c r="U102">
        <v>1</v>
      </c>
      <c r="V102" s="188">
        <v>3.8333333333333335</v>
      </c>
      <c r="W102">
        <v>5</v>
      </c>
      <c r="X102">
        <v>5</v>
      </c>
      <c r="Y102">
        <v>3</v>
      </c>
      <c r="Z102">
        <v>1</v>
      </c>
      <c r="AA102" s="188">
        <v>4.166666666666667</v>
      </c>
      <c r="AB102" s="337">
        <v>3.8263888888888893</v>
      </c>
      <c r="AC102" s="256">
        <v>7</v>
      </c>
    </row>
    <row r="103" spans="1:29" ht="16" x14ac:dyDescent="0.35">
      <c r="A103" s="102">
        <f>_xlfn.XLOOKUP(B103, 'Open Source Tools'!$E$3:$E$206, 'Open Source Tools'!$A$3:$A$206, "Not found")</f>
        <v>7</v>
      </c>
      <c r="B103" s="9" t="s">
        <v>597</v>
      </c>
      <c r="C103" t="str">
        <f>INDEX('Open Source Tools'!D:D, MATCH(B103, 'Open Source Tools'!E:E, 0))</f>
        <v>Dynamic Pricing Platform</v>
      </c>
      <c r="D103">
        <v>2</v>
      </c>
      <c r="E103">
        <v>2</v>
      </c>
      <c r="F103">
        <v>2</v>
      </c>
      <c r="G103">
        <v>3</v>
      </c>
      <c r="H103">
        <v>3</v>
      </c>
      <c r="I103">
        <v>4</v>
      </c>
      <c r="J103" s="187">
        <v>2.8333333333333335</v>
      </c>
      <c r="K103">
        <v>5</v>
      </c>
      <c r="L103">
        <v>5</v>
      </c>
      <c r="M103">
        <v>1</v>
      </c>
      <c r="N103">
        <v>5</v>
      </c>
      <c r="O103" s="187">
        <v>4.1111111111111107</v>
      </c>
      <c r="P103">
        <v>2</v>
      </c>
      <c r="Q103">
        <v>3</v>
      </c>
      <c r="R103">
        <v>5</v>
      </c>
      <c r="S103">
        <v>1</v>
      </c>
      <c r="T103">
        <v>1</v>
      </c>
      <c r="U103">
        <v>3</v>
      </c>
      <c r="V103" s="188">
        <v>2.6666666666666665</v>
      </c>
      <c r="W103">
        <v>5</v>
      </c>
      <c r="X103">
        <v>5</v>
      </c>
      <c r="Y103">
        <v>3</v>
      </c>
      <c r="Z103">
        <v>3</v>
      </c>
      <c r="AA103" s="188">
        <v>4.333333333333333</v>
      </c>
      <c r="AB103" s="337">
        <v>3.8138888888888887</v>
      </c>
      <c r="AC103" s="256">
        <v>7</v>
      </c>
    </row>
    <row r="104" spans="1:29" ht="16" customHeight="1" x14ac:dyDescent="0.35">
      <c r="A104" s="102">
        <f>_xlfn.XLOOKUP(B104, 'Open Source Tools'!$E$3:$E$206, 'Open Source Tools'!$A$3:$A$206, "Not found")</f>
        <v>195</v>
      </c>
      <c r="B104" s="9" t="s">
        <v>3036</v>
      </c>
      <c r="C104" t="str">
        <f>INDEX('Open Source Tools'!D:D, MATCH(B104, 'Open Source Tools'!E:E, 0))</f>
        <v>Weather Forecasting Tools</v>
      </c>
      <c r="D104">
        <v>3</v>
      </c>
      <c r="E104">
        <v>2</v>
      </c>
      <c r="F104">
        <v>2</v>
      </c>
      <c r="G104">
        <v>2</v>
      </c>
      <c r="H104">
        <v>2</v>
      </c>
      <c r="I104">
        <v>5</v>
      </c>
      <c r="J104" s="187">
        <v>2.9166666666666665</v>
      </c>
      <c r="K104">
        <v>5</v>
      </c>
      <c r="L104">
        <v>5</v>
      </c>
      <c r="M104">
        <v>4</v>
      </c>
      <c r="N104">
        <v>5</v>
      </c>
      <c r="O104" s="187">
        <v>4.7777777777777777</v>
      </c>
      <c r="P104">
        <v>5</v>
      </c>
      <c r="Q104">
        <v>2</v>
      </c>
      <c r="R104">
        <v>4</v>
      </c>
      <c r="S104">
        <v>5</v>
      </c>
      <c r="T104">
        <v>5</v>
      </c>
      <c r="U104">
        <v>2</v>
      </c>
      <c r="V104" s="188">
        <v>4</v>
      </c>
      <c r="W104">
        <v>3</v>
      </c>
      <c r="X104">
        <v>5</v>
      </c>
      <c r="Y104">
        <v>4</v>
      </c>
      <c r="Z104">
        <v>1</v>
      </c>
      <c r="AA104" s="188">
        <v>3.5833333333333335</v>
      </c>
      <c r="AB104" s="337">
        <v>3.7847222222222223</v>
      </c>
      <c r="AC104" s="256">
        <v>7</v>
      </c>
    </row>
    <row r="105" spans="1:29" ht="16" customHeight="1" x14ac:dyDescent="0.35">
      <c r="A105" s="102">
        <f>_xlfn.XLOOKUP(B105, 'Open Source Tools'!$E$3:$E$206, 'Open Source Tools'!$A$3:$A$206, "Not found")</f>
        <v>202</v>
      </c>
      <c r="B105" s="362" t="s">
        <v>3398</v>
      </c>
      <c r="C105" t="str">
        <f>INDEX('Open Source Tools'!D:D, MATCH(B105, 'Open Source Tools'!E:E, 0))</f>
        <v>Smart Charging Algorithms</v>
      </c>
      <c r="D105">
        <v>3</v>
      </c>
      <c r="E105">
        <v>3</v>
      </c>
      <c r="F105">
        <v>2</v>
      </c>
      <c r="G105">
        <v>2</v>
      </c>
      <c r="H105">
        <v>3</v>
      </c>
      <c r="I105">
        <v>5</v>
      </c>
      <c r="J105" s="187">
        <f>(D105*1 + E105*1 + F105*0.5 + G105*1 + H105*1 + I105*1.5) / (1 + 1 + 0.5 + 1 + 1 + 1.5)</f>
        <v>3.25</v>
      </c>
      <c r="K105">
        <v>5</v>
      </c>
      <c r="L105">
        <v>2</v>
      </c>
      <c r="M105">
        <v>4</v>
      </c>
      <c r="N105">
        <v>5</v>
      </c>
      <c r="O105" s="187">
        <v>4.1111111111111107</v>
      </c>
      <c r="P105">
        <v>4</v>
      </c>
      <c r="Q105">
        <v>1</v>
      </c>
      <c r="R105">
        <v>2</v>
      </c>
      <c r="S105">
        <v>5</v>
      </c>
      <c r="T105">
        <v>5</v>
      </c>
      <c r="U105">
        <v>3</v>
      </c>
      <c r="V105" s="188">
        <v>3.4166666666666665</v>
      </c>
      <c r="W105">
        <v>5</v>
      </c>
      <c r="X105">
        <v>5</v>
      </c>
      <c r="Y105">
        <v>2</v>
      </c>
      <c r="Z105">
        <v>1</v>
      </c>
      <c r="AA105" s="188">
        <v>3.9166666666666665</v>
      </c>
      <c r="AB105" s="377">
        <v>3.7805555555555554</v>
      </c>
      <c r="AC105" s="256">
        <v>7</v>
      </c>
    </row>
    <row r="106" spans="1:29" ht="16" x14ac:dyDescent="0.35">
      <c r="A106" s="102">
        <f>_xlfn.XLOOKUP(B106, 'Open Source Tools'!$E$3:$E$206, 'Open Source Tools'!$A$3:$A$206, "Not found")</f>
        <v>72</v>
      </c>
      <c r="B106" s="9" t="s">
        <v>1399</v>
      </c>
      <c r="C106" t="str">
        <f>INDEX('Open Source Tools'!D:D, MATCH(B106, 'Open Source Tools'!E:E, 0))</f>
        <v>Energy Dashboards</v>
      </c>
      <c r="D106">
        <v>2</v>
      </c>
      <c r="E106">
        <v>3</v>
      </c>
      <c r="F106">
        <v>2</v>
      </c>
      <c r="G106">
        <v>4</v>
      </c>
      <c r="H106">
        <v>4</v>
      </c>
      <c r="I106">
        <v>3</v>
      </c>
      <c r="J106" s="187">
        <v>3.0833333333333335</v>
      </c>
      <c r="K106">
        <v>5</v>
      </c>
      <c r="L106">
        <v>2</v>
      </c>
      <c r="M106">
        <v>4</v>
      </c>
      <c r="N106">
        <v>3</v>
      </c>
      <c r="O106" s="187">
        <v>3.6666666666666665</v>
      </c>
      <c r="P106">
        <v>5</v>
      </c>
      <c r="Q106">
        <v>2</v>
      </c>
      <c r="R106">
        <v>4</v>
      </c>
      <c r="S106">
        <v>5</v>
      </c>
      <c r="T106">
        <v>5</v>
      </c>
      <c r="U106">
        <v>4</v>
      </c>
      <c r="V106" s="188">
        <v>4.333333333333333</v>
      </c>
      <c r="W106">
        <v>5</v>
      </c>
      <c r="X106">
        <v>3</v>
      </c>
      <c r="Y106">
        <v>3</v>
      </c>
      <c r="Z106">
        <v>3</v>
      </c>
      <c r="AA106" s="188">
        <v>3.8333333333333335</v>
      </c>
      <c r="AB106" s="337">
        <v>3.7625000000000002</v>
      </c>
      <c r="AC106" s="256">
        <v>7</v>
      </c>
    </row>
    <row r="107" spans="1:29" ht="16" x14ac:dyDescent="0.35">
      <c r="A107" s="102">
        <f>_xlfn.XLOOKUP(B107, 'Open Source Tools'!$E$3:$E$206, 'Open Source Tools'!$A$3:$A$206, "Not found")</f>
        <v>168</v>
      </c>
      <c r="B107" s="9" t="s">
        <v>2691</v>
      </c>
      <c r="C107" t="str">
        <f>INDEX('Open Source Tools'!D:D, MATCH(B107, 'Open Source Tools'!E:E, 0))</f>
        <v>Energy System Simulation Tools (e.g., HOMER, PLEXOS)</v>
      </c>
      <c r="D107">
        <v>3</v>
      </c>
      <c r="E107">
        <v>3</v>
      </c>
      <c r="F107">
        <v>2</v>
      </c>
      <c r="G107">
        <v>2</v>
      </c>
      <c r="H107">
        <v>2</v>
      </c>
      <c r="I107">
        <v>3</v>
      </c>
      <c r="J107" s="187">
        <v>2.5833333333333335</v>
      </c>
      <c r="K107">
        <v>5</v>
      </c>
      <c r="L107">
        <v>5</v>
      </c>
      <c r="M107">
        <v>4</v>
      </c>
      <c r="N107">
        <v>5</v>
      </c>
      <c r="O107" s="187">
        <v>4.7777777777777777</v>
      </c>
      <c r="P107">
        <v>5</v>
      </c>
      <c r="Q107">
        <v>2</v>
      </c>
      <c r="R107">
        <v>1</v>
      </c>
      <c r="S107">
        <v>5</v>
      </c>
      <c r="T107">
        <v>2</v>
      </c>
      <c r="U107">
        <v>2</v>
      </c>
      <c r="V107" s="188">
        <v>2.75</v>
      </c>
      <c r="W107">
        <v>5</v>
      </c>
      <c r="X107">
        <v>3</v>
      </c>
      <c r="Y107">
        <v>4</v>
      </c>
      <c r="Z107">
        <v>2</v>
      </c>
      <c r="AA107" s="188">
        <v>4</v>
      </c>
      <c r="AB107" s="337">
        <v>3.7555555555555555</v>
      </c>
      <c r="AC107" s="256">
        <v>7</v>
      </c>
    </row>
    <row r="108" spans="1:29" ht="16" x14ac:dyDescent="0.35">
      <c r="A108" s="102">
        <f>_xlfn.XLOOKUP(B108, 'Open Source Tools'!$E$3:$E$206, 'Open Source Tools'!$A$3:$A$206, "Not found")</f>
        <v>139</v>
      </c>
      <c r="B108" s="9" t="s">
        <v>2311</v>
      </c>
      <c r="C108" t="str">
        <f>INDEX('Open Source Tools'!D:D, MATCH(B108, 'Open Source Tools'!E:E, 0))</f>
        <v>DSO level modelling</v>
      </c>
      <c r="D108">
        <v>3</v>
      </c>
      <c r="E108">
        <v>2</v>
      </c>
      <c r="F108">
        <v>2</v>
      </c>
      <c r="G108">
        <v>3</v>
      </c>
      <c r="H108">
        <v>3</v>
      </c>
      <c r="I108">
        <v>5</v>
      </c>
      <c r="J108" s="187">
        <v>3.25</v>
      </c>
      <c r="K108">
        <v>5</v>
      </c>
      <c r="L108">
        <v>4</v>
      </c>
      <c r="M108">
        <v>4</v>
      </c>
      <c r="N108">
        <v>5</v>
      </c>
      <c r="O108" s="187">
        <v>4.5555555555555554</v>
      </c>
      <c r="P108">
        <v>4</v>
      </c>
      <c r="Q108">
        <v>2</v>
      </c>
      <c r="R108">
        <v>3</v>
      </c>
      <c r="S108">
        <v>5</v>
      </c>
      <c r="T108">
        <v>5</v>
      </c>
      <c r="U108">
        <v>4</v>
      </c>
      <c r="V108" s="188">
        <v>3.9166666666666665</v>
      </c>
      <c r="W108">
        <v>3</v>
      </c>
      <c r="X108">
        <v>5</v>
      </c>
      <c r="Y108">
        <v>3</v>
      </c>
      <c r="Z108">
        <v>3</v>
      </c>
      <c r="AA108" s="188">
        <v>3.5</v>
      </c>
      <c r="AB108" s="337">
        <v>3.7361111111111107</v>
      </c>
      <c r="AC108" s="256">
        <v>7</v>
      </c>
    </row>
    <row r="109" spans="1:29" ht="16" x14ac:dyDescent="0.35">
      <c r="A109" s="102">
        <f>_xlfn.XLOOKUP(B109, 'Open Source Tools'!$E$3:$E$206, 'Open Source Tools'!$A$3:$A$206, "Not found")</f>
        <v>62</v>
      </c>
      <c r="B109" s="9" t="s">
        <v>1276</v>
      </c>
      <c r="C109" t="str">
        <f>INDEX('Open Source Tools'!D:D, MATCH(B109, 'Open Source Tools'!E:E, 0))</f>
        <v>AI for Predictive Maintenance</v>
      </c>
      <c r="D109">
        <v>3</v>
      </c>
      <c r="E109">
        <v>2</v>
      </c>
      <c r="F109">
        <v>2</v>
      </c>
      <c r="G109">
        <v>3</v>
      </c>
      <c r="H109">
        <v>2</v>
      </c>
      <c r="I109">
        <v>1</v>
      </c>
      <c r="J109" s="187">
        <v>2.0833333333333335</v>
      </c>
      <c r="K109">
        <v>5</v>
      </c>
      <c r="L109">
        <v>4</v>
      </c>
      <c r="M109">
        <v>4</v>
      </c>
      <c r="N109">
        <v>5</v>
      </c>
      <c r="O109" s="187">
        <v>4.5555555555555554</v>
      </c>
      <c r="P109">
        <v>4</v>
      </c>
      <c r="Q109">
        <v>1</v>
      </c>
      <c r="R109">
        <v>2</v>
      </c>
      <c r="S109">
        <v>1</v>
      </c>
      <c r="T109">
        <v>1</v>
      </c>
      <c r="U109">
        <v>2</v>
      </c>
      <c r="V109" s="188">
        <v>1.9166666666666667</v>
      </c>
      <c r="W109">
        <v>5</v>
      </c>
      <c r="X109">
        <v>5</v>
      </c>
      <c r="Y109">
        <v>3</v>
      </c>
      <c r="Z109">
        <v>4</v>
      </c>
      <c r="AA109" s="188">
        <v>4.416666666666667</v>
      </c>
      <c r="AB109" s="337">
        <v>3.7194444444444446</v>
      </c>
      <c r="AC109" s="256">
        <v>7</v>
      </c>
    </row>
    <row r="110" spans="1:29" ht="16" x14ac:dyDescent="0.35">
      <c r="A110" s="102">
        <f>_xlfn.XLOOKUP(B110, 'Open Source Tools'!$E$3:$E$206, 'Open Source Tools'!$A$3:$A$206, "Not found")</f>
        <v>61</v>
      </c>
      <c r="B110" s="9" t="s">
        <v>1266</v>
      </c>
      <c r="C110" t="str">
        <f>INDEX('Open Source Tools'!D:D, MATCH(B110, 'Open Source Tools'!E:E, 0))</f>
        <v>Anomaly Detection in Energy Systems</v>
      </c>
      <c r="D110">
        <v>4</v>
      </c>
      <c r="E110">
        <v>3</v>
      </c>
      <c r="F110">
        <v>3</v>
      </c>
      <c r="G110">
        <v>4</v>
      </c>
      <c r="H110">
        <v>4</v>
      </c>
      <c r="I110">
        <v>4</v>
      </c>
      <c r="J110" s="187">
        <v>3.75</v>
      </c>
      <c r="K110">
        <v>5</v>
      </c>
      <c r="L110">
        <v>5</v>
      </c>
      <c r="M110">
        <v>3</v>
      </c>
      <c r="N110">
        <v>5</v>
      </c>
      <c r="O110" s="187">
        <v>4.5555555555555554</v>
      </c>
      <c r="P110">
        <v>3</v>
      </c>
      <c r="Q110">
        <v>3</v>
      </c>
      <c r="R110">
        <v>4</v>
      </c>
      <c r="S110">
        <v>5</v>
      </c>
      <c r="T110">
        <v>5</v>
      </c>
      <c r="U110">
        <v>2</v>
      </c>
      <c r="V110" s="188">
        <v>3.75</v>
      </c>
      <c r="W110">
        <v>3</v>
      </c>
      <c r="X110">
        <v>5</v>
      </c>
      <c r="Y110">
        <v>3</v>
      </c>
      <c r="Z110">
        <v>1</v>
      </c>
      <c r="AA110" s="188">
        <v>3.3333333333333335</v>
      </c>
      <c r="AB110" s="337">
        <v>3.7027777777777775</v>
      </c>
      <c r="AC110" s="256">
        <v>7</v>
      </c>
    </row>
    <row r="111" spans="1:29" ht="16" x14ac:dyDescent="0.35">
      <c r="A111" s="102">
        <f>_xlfn.XLOOKUP(B111, 'Open Source Tools'!$E$3:$E$206, 'Open Source Tools'!$A$3:$A$206, "Not found")</f>
        <v>104</v>
      </c>
      <c r="B111" s="9" t="s">
        <v>1799</v>
      </c>
      <c r="C111" t="str">
        <f>INDEX('Open Source Tools'!D:D, MATCH(B111, 'Open Source Tools'!E:E, 0))</f>
        <v>Community Energy Management Systems (CEMS)</v>
      </c>
      <c r="D111">
        <v>2</v>
      </c>
      <c r="E111">
        <v>2</v>
      </c>
      <c r="F111">
        <v>2</v>
      </c>
      <c r="G111">
        <v>2</v>
      </c>
      <c r="H111">
        <v>1</v>
      </c>
      <c r="I111">
        <v>1</v>
      </c>
      <c r="J111" s="187">
        <v>1.5833333333333333</v>
      </c>
      <c r="K111">
        <v>3</v>
      </c>
      <c r="L111">
        <v>5</v>
      </c>
      <c r="M111">
        <v>1</v>
      </c>
      <c r="N111">
        <v>5</v>
      </c>
      <c r="O111" s="187">
        <v>3.4444444444444446</v>
      </c>
      <c r="P111">
        <v>5</v>
      </c>
      <c r="Q111">
        <v>2</v>
      </c>
      <c r="R111">
        <v>4</v>
      </c>
      <c r="S111">
        <v>5</v>
      </c>
      <c r="T111">
        <v>2</v>
      </c>
      <c r="U111">
        <v>2</v>
      </c>
      <c r="V111" s="188">
        <v>3.5</v>
      </c>
      <c r="W111">
        <v>5</v>
      </c>
      <c r="X111">
        <v>5</v>
      </c>
      <c r="Y111">
        <v>4</v>
      </c>
      <c r="Z111">
        <v>2</v>
      </c>
      <c r="AA111" s="188">
        <v>4.5</v>
      </c>
      <c r="AB111" s="337">
        <v>3.7013888888888888</v>
      </c>
      <c r="AC111" s="256">
        <v>7</v>
      </c>
    </row>
    <row r="112" spans="1:29" ht="16" x14ac:dyDescent="0.35">
      <c r="A112" s="102">
        <f>_xlfn.XLOOKUP(B112, 'Open Source Tools'!$E$3:$E$206, 'Open Source Tools'!$A$3:$A$206, "Not found")</f>
        <v>178</v>
      </c>
      <c r="B112" s="9" t="s">
        <v>2814</v>
      </c>
      <c r="C112" t="str">
        <f>INDEX('Open Source Tools'!D:D, MATCH(B112, 'Open Source Tools'!E:E, 0))</f>
        <v>Collaborative Decision-Making Platforms</v>
      </c>
      <c r="D112">
        <v>2</v>
      </c>
      <c r="E112">
        <v>2</v>
      </c>
      <c r="F112">
        <v>2</v>
      </c>
      <c r="G112">
        <v>2</v>
      </c>
      <c r="H112">
        <v>2</v>
      </c>
      <c r="I112">
        <v>2</v>
      </c>
      <c r="J112" s="187">
        <v>2</v>
      </c>
      <c r="K112">
        <v>5</v>
      </c>
      <c r="L112">
        <v>5</v>
      </c>
      <c r="M112">
        <v>1</v>
      </c>
      <c r="N112">
        <v>5</v>
      </c>
      <c r="O112" s="187">
        <v>4.1111111111111107</v>
      </c>
      <c r="P112">
        <v>5</v>
      </c>
      <c r="Q112">
        <v>2</v>
      </c>
      <c r="R112">
        <v>3</v>
      </c>
      <c r="S112">
        <v>1</v>
      </c>
      <c r="T112">
        <v>1</v>
      </c>
      <c r="U112">
        <v>2</v>
      </c>
      <c r="V112" s="188">
        <v>2.4166666666666665</v>
      </c>
      <c r="W112">
        <v>5</v>
      </c>
      <c r="X112">
        <v>5</v>
      </c>
      <c r="Y112">
        <v>3</v>
      </c>
      <c r="Z112">
        <v>4</v>
      </c>
      <c r="AA112" s="188">
        <v>4.416666666666667</v>
      </c>
      <c r="AB112" s="337">
        <v>3.6930555555555555</v>
      </c>
      <c r="AC112" s="256">
        <v>7</v>
      </c>
    </row>
    <row r="113" spans="1:29" ht="16" x14ac:dyDescent="0.35">
      <c r="A113" s="102">
        <f>_xlfn.XLOOKUP(B113, 'Open Source Tools'!$E$3:$E$206, 'Open Source Tools'!$A$3:$A$206, "Not found")</f>
        <v>196</v>
      </c>
      <c r="B113" s="9" t="s">
        <v>3053</v>
      </c>
      <c r="C113" t="str">
        <f>INDEX('Open Source Tools'!D:D, MATCH(B113, 'Open Source Tools'!E:E, 0))</f>
        <v>Weather Forecasting Tools</v>
      </c>
      <c r="D113">
        <v>2</v>
      </c>
      <c r="E113">
        <v>2</v>
      </c>
      <c r="F113">
        <v>3</v>
      </c>
      <c r="G113">
        <v>3</v>
      </c>
      <c r="H113">
        <v>2</v>
      </c>
      <c r="I113">
        <v>3</v>
      </c>
      <c r="J113" s="187">
        <v>2.5</v>
      </c>
      <c r="K113">
        <v>5</v>
      </c>
      <c r="L113">
        <v>5</v>
      </c>
      <c r="M113">
        <v>1</v>
      </c>
      <c r="N113">
        <v>5</v>
      </c>
      <c r="O113" s="187">
        <v>4.1111111111111107</v>
      </c>
      <c r="P113">
        <v>5</v>
      </c>
      <c r="Q113">
        <v>2</v>
      </c>
      <c r="R113">
        <v>1</v>
      </c>
      <c r="S113">
        <v>1</v>
      </c>
      <c r="T113">
        <v>1</v>
      </c>
      <c r="U113">
        <v>3</v>
      </c>
      <c r="V113" s="188">
        <v>2.0833333333333335</v>
      </c>
      <c r="W113">
        <v>5</v>
      </c>
      <c r="X113">
        <v>5</v>
      </c>
      <c r="Y113">
        <v>3</v>
      </c>
      <c r="Z113">
        <v>3</v>
      </c>
      <c r="AA113" s="188">
        <v>4.333333333333333</v>
      </c>
      <c r="AB113" s="337">
        <v>3.6763888888888889</v>
      </c>
      <c r="AC113" s="256">
        <v>7</v>
      </c>
    </row>
    <row r="114" spans="1:29" ht="16" x14ac:dyDescent="0.35">
      <c r="A114" s="102">
        <f>_xlfn.XLOOKUP(B114, 'Open Source Tools'!$E$3:$E$206, 'Open Source Tools'!$A$3:$A$206, "Not found")</f>
        <v>165</v>
      </c>
      <c r="B114" s="9" t="s">
        <v>2653</v>
      </c>
      <c r="C114" t="str">
        <f>INDEX('Open Source Tools'!D:D, MATCH(B114, 'Open Source Tools'!E:E, 0))</f>
        <v>Energy System Simulation Tools (e.g., HOMER, PLEXOS)</v>
      </c>
      <c r="D114">
        <v>2</v>
      </c>
      <c r="E114">
        <v>2</v>
      </c>
      <c r="F114">
        <v>2</v>
      </c>
      <c r="G114">
        <v>2</v>
      </c>
      <c r="H114">
        <v>2</v>
      </c>
      <c r="I114">
        <v>3</v>
      </c>
      <c r="J114" s="187">
        <v>2.25</v>
      </c>
      <c r="K114">
        <v>5</v>
      </c>
      <c r="L114">
        <v>3</v>
      </c>
      <c r="M114">
        <v>1</v>
      </c>
      <c r="N114">
        <v>5</v>
      </c>
      <c r="O114" s="187">
        <v>3.6666666666666665</v>
      </c>
      <c r="P114">
        <v>5</v>
      </c>
      <c r="Q114">
        <v>1</v>
      </c>
      <c r="R114">
        <v>2</v>
      </c>
      <c r="S114">
        <v>5</v>
      </c>
      <c r="T114">
        <v>2</v>
      </c>
      <c r="U114">
        <v>2</v>
      </c>
      <c r="V114" s="188">
        <v>2.9166666666666665</v>
      </c>
      <c r="W114">
        <v>5</v>
      </c>
      <c r="X114">
        <v>5</v>
      </c>
      <c r="Y114">
        <v>3</v>
      </c>
      <c r="Z114">
        <v>3</v>
      </c>
      <c r="AA114" s="188">
        <v>4.333333333333333</v>
      </c>
      <c r="AB114" s="337">
        <v>3.6749999999999998</v>
      </c>
      <c r="AC114" s="256">
        <v>7</v>
      </c>
    </row>
    <row r="115" spans="1:29" ht="16" x14ac:dyDescent="0.35">
      <c r="A115" s="102">
        <f>_xlfn.XLOOKUP(B115, 'Open Source Tools'!$E$3:$E$206, 'Open Source Tools'!$A$3:$A$206, "Not found")</f>
        <v>125</v>
      </c>
      <c r="B115" s="9" t="s">
        <v>2123</v>
      </c>
      <c r="C115" t="str">
        <f>INDEX('Open Source Tools'!D:D, MATCH(B115, 'Open Source Tools'!E:E, 0))</f>
        <v>Real-Time Energy Monitoring Platforms</v>
      </c>
      <c r="D115">
        <v>2</v>
      </c>
      <c r="E115">
        <v>1</v>
      </c>
      <c r="F115">
        <v>2</v>
      </c>
      <c r="G115">
        <v>3</v>
      </c>
      <c r="H115">
        <v>1</v>
      </c>
      <c r="I115">
        <v>5</v>
      </c>
      <c r="J115" s="187">
        <v>2.5833333333333335</v>
      </c>
      <c r="K115">
        <v>5</v>
      </c>
      <c r="L115">
        <v>4</v>
      </c>
      <c r="M115">
        <v>4</v>
      </c>
      <c r="N115">
        <v>5</v>
      </c>
      <c r="O115" s="187">
        <v>4.5555555555555554</v>
      </c>
      <c r="P115">
        <v>4</v>
      </c>
      <c r="Q115">
        <v>2</v>
      </c>
      <c r="R115">
        <v>5</v>
      </c>
      <c r="S115">
        <v>5</v>
      </c>
      <c r="T115">
        <v>5</v>
      </c>
      <c r="U115">
        <v>2</v>
      </c>
      <c r="V115" s="188">
        <v>4.083333333333333</v>
      </c>
      <c r="W115">
        <v>3</v>
      </c>
      <c r="X115">
        <v>5</v>
      </c>
      <c r="Y115">
        <v>3</v>
      </c>
      <c r="Z115">
        <v>3</v>
      </c>
      <c r="AA115" s="188">
        <v>3.5</v>
      </c>
      <c r="AB115" s="337">
        <v>3.661111111111111</v>
      </c>
      <c r="AC115" s="256">
        <v>7</v>
      </c>
    </row>
    <row r="116" spans="1:29" ht="16" x14ac:dyDescent="0.35">
      <c r="A116" s="102">
        <f>_xlfn.XLOOKUP(B116, 'Open Source Tools'!$E$3:$E$206, 'Open Source Tools'!$A$3:$A$206, "Not found")</f>
        <v>118</v>
      </c>
      <c r="B116" s="9" t="s">
        <v>2018</v>
      </c>
      <c r="C116" t="str">
        <f>INDEX('Open Source Tools'!D:D, MATCH(B116, 'Open Source Tools'!E:E, 0))</f>
        <v>Demand Response Systems</v>
      </c>
      <c r="D116">
        <v>3</v>
      </c>
      <c r="E116">
        <v>2</v>
      </c>
      <c r="F116">
        <v>2</v>
      </c>
      <c r="G116">
        <v>3</v>
      </c>
      <c r="H116">
        <v>3</v>
      </c>
      <c r="I116">
        <v>4</v>
      </c>
      <c r="J116" s="187">
        <v>3</v>
      </c>
      <c r="K116">
        <v>5</v>
      </c>
      <c r="L116">
        <v>4</v>
      </c>
      <c r="M116">
        <v>4</v>
      </c>
      <c r="N116">
        <v>3</v>
      </c>
      <c r="O116" s="187">
        <v>4.1111111111111107</v>
      </c>
      <c r="P116">
        <v>4</v>
      </c>
      <c r="Q116">
        <v>2</v>
      </c>
      <c r="R116">
        <v>4</v>
      </c>
      <c r="S116">
        <v>5</v>
      </c>
      <c r="T116">
        <v>5</v>
      </c>
      <c r="U116">
        <v>3</v>
      </c>
      <c r="V116" s="188">
        <v>4</v>
      </c>
      <c r="W116">
        <v>3</v>
      </c>
      <c r="X116">
        <v>5</v>
      </c>
      <c r="Y116">
        <v>3</v>
      </c>
      <c r="Z116">
        <v>3</v>
      </c>
      <c r="AA116" s="188">
        <v>3.5</v>
      </c>
      <c r="AB116" s="337">
        <v>3.6222222222222222</v>
      </c>
      <c r="AC116" s="256">
        <v>7</v>
      </c>
    </row>
    <row r="117" spans="1:29" ht="16" x14ac:dyDescent="0.35">
      <c r="A117" s="102">
        <f>_xlfn.XLOOKUP(B117, 'Open Source Tools'!$E$3:$E$206, 'Open Source Tools'!$A$3:$A$206, "Not found")</f>
        <v>5</v>
      </c>
      <c r="B117" s="9" t="s">
        <v>570</v>
      </c>
      <c r="C117" t="str">
        <f>INDEX('Open Source Tools'!D:D, MATCH(B117, 'Open Source Tools'!E:E, 0))</f>
        <v>Virtual Power Plants (VPPs)</v>
      </c>
      <c r="D117">
        <v>1</v>
      </c>
      <c r="E117">
        <v>1</v>
      </c>
      <c r="F117" s="241">
        <v>1</v>
      </c>
      <c r="G117">
        <v>2</v>
      </c>
      <c r="H117">
        <v>2</v>
      </c>
      <c r="I117">
        <v>1</v>
      </c>
      <c r="J117" s="187">
        <v>1.3333333333333333</v>
      </c>
      <c r="K117">
        <v>5</v>
      </c>
      <c r="L117">
        <v>4</v>
      </c>
      <c r="M117">
        <v>1</v>
      </c>
      <c r="N117">
        <v>5</v>
      </c>
      <c r="O117" s="187">
        <v>3.8888888888888888</v>
      </c>
      <c r="P117">
        <v>4</v>
      </c>
      <c r="Q117">
        <v>2</v>
      </c>
      <c r="R117">
        <v>4</v>
      </c>
      <c r="S117">
        <v>5</v>
      </c>
      <c r="T117">
        <v>2</v>
      </c>
      <c r="U117">
        <v>1</v>
      </c>
      <c r="V117" s="188">
        <v>3.1666666666666665</v>
      </c>
      <c r="W117">
        <v>5</v>
      </c>
      <c r="X117">
        <v>5</v>
      </c>
      <c r="Y117">
        <v>3</v>
      </c>
      <c r="Z117">
        <v>3</v>
      </c>
      <c r="AA117" s="188">
        <v>4.333333333333333</v>
      </c>
      <c r="AB117" s="337">
        <v>3.6194444444444445</v>
      </c>
      <c r="AC117" s="256">
        <v>7</v>
      </c>
    </row>
    <row r="118" spans="1:29" ht="16" customHeight="1" x14ac:dyDescent="0.35">
      <c r="A118" s="102">
        <f>_xlfn.XLOOKUP(B118, 'Open Source Tools'!$E$3:$E$206, 'Open Source Tools'!$A$3:$A$206, "Not found")</f>
        <v>160</v>
      </c>
      <c r="B118" s="9" t="s">
        <v>2591</v>
      </c>
      <c r="C118" t="str">
        <f>INDEX('Open Source Tools'!D:D, MATCH(B118, 'Open Source Tools'!E:E, 0))</f>
        <v>Individual Unit modelling</v>
      </c>
      <c r="D118">
        <v>2</v>
      </c>
      <c r="E118">
        <v>2</v>
      </c>
      <c r="F118">
        <v>2</v>
      </c>
      <c r="G118">
        <v>2</v>
      </c>
      <c r="H118">
        <v>2</v>
      </c>
      <c r="I118">
        <v>1</v>
      </c>
      <c r="J118" s="187">
        <v>1.75</v>
      </c>
      <c r="K118">
        <v>5</v>
      </c>
      <c r="L118">
        <v>5</v>
      </c>
      <c r="M118">
        <v>1</v>
      </c>
      <c r="N118">
        <v>5</v>
      </c>
      <c r="O118" s="187">
        <v>4.1111111111111107</v>
      </c>
      <c r="P118">
        <v>5</v>
      </c>
      <c r="Q118">
        <v>1</v>
      </c>
      <c r="R118">
        <v>2</v>
      </c>
      <c r="S118">
        <v>1</v>
      </c>
      <c r="T118">
        <v>1</v>
      </c>
      <c r="U118">
        <v>2</v>
      </c>
      <c r="V118" s="188">
        <v>2.0833333333333335</v>
      </c>
      <c r="W118">
        <v>5</v>
      </c>
      <c r="X118">
        <v>5</v>
      </c>
      <c r="Y118">
        <v>3</v>
      </c>
      <c r="Z118">
        <v>4</v>
      </c>
      <c r="AA118" s="188">
        <v>4.416666666666667</v>
      </c>
      <c r="AB118" s="337">
        <v>3.6055555555555556</v>
      </c>
      <c r="AC118" s="256">
        <v>7</v>
      </c>
    </row>
    <row r="119" spans="1:29" ht="16" x14ac:dyDescent="0.35">
      <c r="A119" s="102">
        <f>_xlfn.XLOOKUP(B119, 'Open Source Tools'!$E$3:$E$206, 'Open Source Tools'!$A$3:$A$206, "Not found")</f>
        <v>188</v>
      </c>
      <c r="B119" s="9" t="s">
        <v>2941</v>
      </c>
      <c r="C119" t="str">
        <f>INDEX('Open Source Tools'!D:D, MATCH(B119, 'Open Source Tools'!E:E, 0))</f>
        <v>Energy Analytics Platforms</v>
      </c>
      <c r="D119">
        <v>2</v>
      </c>
      <c r="E119">
        <v>2</v>
      </c>
      <c r="F119">
        <v>2</v>
      </c>
      <c r="G119">
        <v>3</v>
      </c>
      <c r="H119">
        <v>3</v>
      </c>
      <c r="I119">
        <v>3</v>
      </c>
      <c r="J119" s="187">
        <v>2.5833333333333335</v>
      </c>
      <c r="K119">
        <v>5</v>
      </c>
      <c r="L119">
        <v>4</v>
      </c>
      <c r="M119">
        <v>5</v>
      </c>
      <c r="N119">
        <v>5</v>
      </c>
      <c r="O119" s="187">
        <v>4.7777777777777777</v>
      </c>
      <c r="P119">
        <v>5</v>
      </c>
      <c r="Q119">
        <v>2</v>
      </c>
      <c r="R119">
        <v>1</v>
      </c>
      <c r="S119">
        <v>5</v>
      </c>
      <c r="T119">
        <v>5</v>
      </c>
      <c r="U119">
        <v>3</v>
      </c>
      <c r="V119" s="188">
        <v>3.4166666666666665</v>
      </c>
      <c r="W119">
        <v>3</v>
      </c>
      <c r="X119">
        <v>5</v>
      </c>
      <c r="Y119">
        <v>3</v>
      </c>
      <c r="Z119">
        <v>3</v>
      </c>
      <c r="AA119" s="188">
        <v>3.5</v>
      </c>
      <c r="AB119" s="337">
        <v>3.6055555555555556</v>
      </c>
      <c r="AC119" s="256">
        <v>7</v>
      </c>
    </row>
    <row r="120" spans="1:29" ht="16" x14ac:dyDescent="0.35">
      <c r="A120" s="102">
        <f>_xlfn.XLOOKUP(B120, 'Open Source Tools'!$E$3:$E$206, 'Open Source Tools'!$A$3:$A$206, "Not found")</f>
        <v>129</v>
      </c>
      <c r="B120" s="9" t="s">
        <v>2176</v>
      </c>
      <c r="C120" t="str">
        <f>INDEX('Open Source Tools'!D:D, MATCH(B120, 'Open Source Tools'!E:E, 0))</f>
        <v>Energy Analytics Platforms</v>
      </c>
      <c r="D120">
        <v>1</v>
      </c>
      <c r="E120">
        <v>1</v>
      </c>
      <c r="F120" s="241">
        <v>1</v>
      </c>
      <c r="G120">
        <v>4</v>
      </c>
      <c r="H120">
        <v>3</v>
      </c>
      <c r="I120">
        <v>5</v>
      </c>
      <c r="J120" s="187">
        <v>2.8333333333333335</v>
      </c>
      <c r="K120">
        <v>5</v>
      </c>
      <c r="L120">
        <v>3</v>
      </c>
      <c r="M120">
        <v>4</v>
      </c>
      <c r="N120">
        <v>5</v>
      </c>
      <c r="O120" s="187">
        <v>4.333333333333333</v>
      </c>
      <c r="P120">
        <v>4</v>
      </c>
      <c r="Q120">
        <v>3</v>
      </c>
      <c r="R120">
        <v>4</v>
      </c>
      <c r="S120">
        <v>5</v>
      </c>
      <c r="T120">
        <v>2</v>
      </c>
      <c r="U120">
        <v>4</v>
      </c>
      <c r="V120" s="188">
        <v>3.75</v>
      </c>
      <c r="W120">
        <v>3</v>
      </c>
      <c r="X120">
        <v>5</v>
      </c>
      <c r="Y120">
        <v>3</v>
      </c>
      <c r="Z120">
        <v>3</v>
      </c>
      <c r="AA120" s="188">
        <v>3.5</v>
      </c>
      <c r="AB120" s="337">
        <v>3.604166666666667</v>
      </c>
      <c r="AC120" s="256">
        <v>7</v>
      </c>
    </row>
    <row r="121" spans="1:29" ht="16" x14ac:dyDescent="0.35">
      <c r="A121" s="102">
        <f>_xlfn.XLOOKUP(B121, 'Open Source Tools'!$E$3:$E$206, 'Open Source Tools'!$A$3:$A$206, "Not found")</f>
        <v>14</v>
      </c>
      <c r="B121" s="9" t="s">
        <v>3179</v>
      </c>
      <c r="C121" t="str">
        <f>INDEX('Open Source Tools'!D:D, MATCH(B121, 'Open Source Tools'!E:E, 0))</f>
        <v>Grid Balancing Tools</v>
      </c>
      <c r="D121">
        <v>2</v>
      </c>
      <c r="E121">
        <v>1</v>
      </c>
      <c r="F121">
        <v>1</v>
      </c>
      <c r="G121">
        <v>4</v>
      </c>
      <c r="H121">
        <v>3</v>
      </c>
      <c r="I121">
        <v>4</v>
      </c>
      <c r="J121" s="187">
        <v>2.75</v>
      </c>
      <c r="K121">
        <v>5</v>
      </c>
      <c r="L121">
        <v>5</v>
      </c>
      <c r="M121">
        <v>5</v>
      </c>
      <c r="N121">
        <v>5</v>
      </c>
      <c r="O121" s="187">
        <v>5</v>
      </c>
      <c r="P121">
        <v>4</v>
      </c>
      <c r="Q121">
        <v>2</v>
      </c>
      <c r="R121">
        <v>4</v>
      </c>
      <c r="S121">
        <v>5</v>
      </c>
      <c r="T121">
        <v>5</v>
      </c>
      <c r="U121">
        <v>3</v>
      </c>
      <c r="V121" s="188">
        <v>4</v>
      </c>
      <c r="W121">
        <v>3</v>
      </c>
      <c r="X121">
        <v>5</v>
      </c>
      <c r="Y121">
        <v>2</v>
      </c>
      <c r="Z121">
        <v>2</v>
      </c>
      <c r="AA121" s="188">
        <v>3.1666666666666665</v>
      </c>
      <c r="AB121" s="337">
        <v>3.5958333333333332</v>
      </c>
      <c r="AC121" s="256">
        <v>7</v>
      </c>
    </row>
    <row r="122" spans="1:29" ht="16" x14ac:dyDescent="0.35">
      <c r="A122" s="102">
        <f>_xlfn.XLOOKUP(B122, 'Open Source Tools'!$E$3:$E$206, 'Open Source Tools'!$A$3:$A$206, "Not found")</f>
        <v>164</v>
      </c>
      <c r="B122" s="192" t="s">
        <v>2641</v>
      </c>
      <c r="C122" t="str">
        <f>INDEX('Open Source Tools'!D:D, MATCH(B122, 'Open Source Tools'!E:E, 0))</f>
        <v>Energy System Simulation Tools (e.g., HOMER, PLEXOS)</v>
      </c>
      <c r="D122">
        <v>3</v>
      </c>
      <c r="E122">
        <v>1</v>
      </c>
      <c r="F122">
        <v>2</v>
      </c>
      <c r="G122">
        <v>3</v>
      </c>
      <c r="H122">
        <v>3</v>
      </c>
      <c r="I122">
        <v>5</v>
      </c>
      <c r="J122" s="187">
        <v>3.0833333333333335</v>
      </c>
      <c r="K122">
        <v>5</v>
      </c>
      <c r="L122">
        <v>5</v>
      </c>
      <c r="M122">
        <v>2</v>
      </c>
      <c r="N122">
        <v>5</v>
      </c>
      <c r="O122" s="187">
        <v>4.333333333333333</v>
      </c>
      <c r="P122">
        <v>5</v>
      </c>
      <c r="Q122">
        <v>2</v>
      </c>
      <c r="R122">
        <v>1</v>
      </c>
      <c r="S122">
        <v>5</v>
      </c>
      <c r="T122">
        <v>5</v>
      </c>
      <c r="U122">
        <v>4</v>
      </c>
      <c r="V122" s="188">
        <v>3.5833333333333335</v>
      </c>
      <c r="W122">
        <v>3</v>
      </c>
      <c r="X122">
        <v>5</v>
      </c>
      <c r="Y122">
        <v>3</v>
      </c>
      <c r="Z122">
        <v>2</v>
      </c>
      <c r="AA122" s="188">
        <v>3.4166666666666665</v>
      </c>
      <c r="AB122" s="337">
        <v>3.5750000000000002</v>
      </c>
      <c r="AC122" s="256">
        <v>7</v>
      </c>
    </row>
    <row r="123" spans="1:29" ht="16" x14ac:dyDescent="0.35">
      <c r="A123" s="102">
        <f>_xlfn.XLOOKUP(B123, 'Open Source Tools'!$E$3:$E$206, 'Open Source Tools'!$A$3:$A$206, "Not found")</f>
        <v>133</v>
      </c>
      <c r="B123" s="9" t="s">
        <v>2230</v>
      </c>
      <c r="C123" t="str">
        <f>INDEX('Open Source Tools'!D:D, MATCH(B123, 'Open Source Tools'!E:E, 0))</f>
        <v>Energy Analytics Platforms</v>
      </c>
      <c r="D123">
        <v>3</v>
      </c>
      <c r="E123">
        <v>2</v>
      </c>
      <c r="F123">
        <v>2</v>
      </c>
      <c r="G123">
        <v>2</v>
      </c>
      <c r="H123">
        <v>2</v>
      </c>
      <c r="I123">
        <v>1</v>
      </c>
      <c r="J123" s="187">
        <v>1.9166666666666667</v>
      </c>
      <c r="K123">
        <v>5</v>
      </c>
      <c r="L123">
        <v>3</v>
      </c>
      <c r="M123">
        <v>4</v>
      </c>
      <c r="N123">
        <v>5</v>
      </c>
      <c r="O123" s="187">
        <v>4.333333333333333</v>
      </c>
      <c r="P123">
        <v>4</v>
      </c>
      <c r="Q123">
        <v>1</v>
      </c>
      <c r="R123">
        <v>3</v>
      </c>
      <c r="S123">
        <v>1</v>
      </c>
      <c r="T123">
        <v>1</v>
      </c>
      <c r="U123">
        <v>2</v>
      </c>
      <c r="V123" s="188">
        <v>2.1666666666666665</v>
      </c>
      <c r="W123">
        <v>5</v>
      </c>
      <c r="X123">
        <v>5</v>
      </c>
      <c r="Y123">
        <v>3</v>
      </c>
      <c r="Z123">
        <v>1</v>
      </c>
      <c r="AA123" s="188">
        <v>4.166666666666667</v>
      </c>
      <c r="AB123" s="337">
        <v>3.5625</v>
      </c>
      <c r="AC123" s="256">
        <v>7</v>
      </c>
    </row>
    <row r="124" spans="1:29" ht="16" x14ac:dyDescent="0.35">
      <c r="A124" s="102">
        <f>_xlfn.XLOOKUP(B124, 'Open Source Tools'!$E$3:$E$206, 'Open Source Tools'!$A$3:$A$206, "Not found")</f>
        <v>103</v>
      </c>
      <c r="B124" s="9" t="s">
        <v>1784</v>
      </c>
      <c r="C124" t="str">
        <f>INDEX('Open Source Tools'!D:D, MATCH(B124, 'Open Source Tools'!E:E, 0))</f>
        <v>Peer-to-Peer (P2P) Energy Trading Platforms</v>
      </c>
      <c r="D124">
        <v>2</v>
      </c>
      <c r="E124">
        <v>2</v>
      </c>
      <c r="F124">
        <v>2</v>
      </c>
      <c r="G124">
        <v>2</v>
      </c>
      <c r="H124">
        <v>2</v>
      </c>
      <c r="I124">
        <v>1</v>
      </c>
      <c r="J124" s="187">
        <v>1.75</v>
      </c>
      <c r="K124">
        <v>5</v>
      </c>
      <c r="L124">
        <v>5</v>
      </c>
      <c r="M124">
        <v>4</v>
      </c>
      <c r="N124">
        <v>1</v>
      </c>
      <c r="O124" s="187">
        <v>3.8888888888888888</v>
      </c>
      <c r="P124">
        <v>3</v>
      </c>
      <c r="Q124">
        <v>2</v>
      </c>
      <c r="R124">
        <v>4</v>
      </c>
      <c r="S124">
        <v>1</v>
      </c>
      <c r="T124">
        <v>1</v>
      </c>
      <c r="U124">
        <v>2</v>
      </c>
      <c r="V124" s="188">
        <v>2.3333333333333335</v>
      </c>
      <c r="W124">
        <v>5</v>
      </c>
      <c r="X124">
        <v>5</v>
      </c>
      <c r="Y124">
        <v>3</v>
      </c>
      <c r="Z124">
        <v>3</v>
      </c>
      <c r="AA124" s="188">
        <v>4.333333333333333</v>
      </c>
      <c r="AB124" s="337">
        <v>3.5569444444444445</v>
      </c>
      <c r="AC124" s="256">
        <v>7</v>
      </c>
    </row>
    <row r="125" spans="1:29" ht="16" x14ac:dyDescent="0.35">
      <c r="A125" s="102">
        <f>_xlfn.XLOOKUP(B125, 'Open Source Tools'!$E$3:$E$206, 'Open Source Tools'!$A$3:$A$206, "Not found")</f>
        <v>120</v>
      </c>
      <c r="B125" s="9" t="s">
        <v>2046</v>
      </c>
      <c r="C125" t="str">
        <f>INDEX('Open Source Tools'!D:D, MATCH(B125, 'Open Source Tools'!E:E, 0))</f>
        <v>Demand Response Systems</v>
      </c>
      <c r="D125">
        <v>1</v>
      </c>
      <c r="E125">
        <v>1</v>
      </c>
      <c r="F125">
        <v>1</v>
      </c>
      <c r="G125">
        <v>3</v>
      </c>
      <c r="H125">
        <v>2</v>
      </c>
      <c r="I125">
        <v>3</v>
      </c>
      <c r="J125" s="187">
        <v>2</v>
      </c>
      <c r="K125">
        <v>5</v>
      </c>
      <c r="L125">
        <v>5</v>
      </c>
      <c r="M125">
        <v>4</v>
      </c>
      <c r="N125">
        <v>5</v>
      </c>
      <c r="O125" s="187">
        <v>4.7777777777777777</v>
      </c>
      <c r="P125">
        <v>4</v>
      </c>
      <c r="Q125">
        <v>2</v>
      </c>
      <c r="R125">
        <v>4</v>
      </c>
      <c r="S125">
        <v>5</v>
      </c>
      <c r="T125">
        <v>5</v>
      </c>
      <c r="U125">
        <v>2</v>
      </c>
      <c r="V125" s="188">
        <v>3.8333333333333335</v>
      </c>
      <c r="W125">
        <v>3</v>
      </c>
      <c r="X125">
        <v>5</v>
      </c>
      <c r="Y125">
        <v>3</v>
      </c>
      <c r="Z125">
        <v>2</v>
      </c>
      <c r="AA125" s="188">
        <v>3.4166666666666665</v>
      </c>
      <c r="AB125" s="337">
        <v>3.5388888888888888</v>
      </c>
      <c r="AC125" s="256">
        <v>7</v>
      </c>
    </row>
    <row r="126" spans="1:29" ht="16" x14ac:dyDescent="0.35">
      <c r="A126" s="102">
        <f>_xlfn.XLOOKUP(B126, 'Open Source Tools'!$E$3:$E$206, 'Open Source Tools'!$A$3:$A$206, "Not found")</f>
        <v>201</v>
      </c>
      <c r="B126" s="362" t="s">
        <v>3385</v>
      </c>
      <c r="C126" t="str">
        <f>INDEX('Open Source Tools'!D:D, MATCH(B126, 'Open Source Tools'!E:E, 0))</f>
        <v>Smart Charging Algorithms</v>
      </c>
      <c r="D126">
        <v>2</v>
      </c>
      <c r="E126">
        <v>2</v>
      </c>
      <c r="F126">
        <v>2</v>
      </c>
      <c r="G126">
        <v>2</v>
      </c>
      <c r="H126">
        <v>2</v>
      </c>
      <c r="I126">
        <v>3</v>
      </c>
      <c r="J126" s="187">
        <v>2.25</v>
      </c>
      <c r="K126">
        <v>5</v>
      </c>
      <c r="L126">
        <v>2</v>
      </c>
      <c r="M126">
        <v>5</v>
      </c>
      <c r="N126">
        <v>5</v>
      </c>
      <c r="O126" s="187">
        <v>4.333333333333333</v>
      </c>
      <c r="P126">
        <v>4</v>
      </c>
      <c r="Q126">
        <v>1</v>
      </c>
      <c r="R126">
        <v>1</v>
      </c>
      <c r="S126">
        <v>1</v>
      </c>
      <c r="T126">
        <v>2</v>
      </c>
      <c r="U126">
        <v>1</v>
      </c>
      <c r="V126" s="188">
        <v>1.6666666666666667</v>
      </c>
      <c r="W126">
        <v>5</v>
      </c>
      <c r="X126">
        <v>5</v>
      </c>
      <c r="Y126">
        <v>3</v>
      </c>
      <c r="Z126">
        <v>1</v>
      </c>
      <c r="AA126" s="188">
        <v>4.166666666666667</v>
      </c>
      <c r="AB126" s="377">
        <v>3.5375000000000001</v>
      </c>
      <c r="AC126" s="256">
        <v>7</v>
      </c>
    </row>
    <row r="127" spans="1:29" ht="16" hidden="1" x14ac:dyDescent="0.35">
      <c r="A127" s="102">
        <f>_xlfn.XLOOKUP(B127, 'Open Source Tools'!$E$3:$E$206, 'Open Source Tools'!$A$3:$A$206, "Not found")</f>
        <v>3</v>
      </c>
      <c r="B127" s="9" t="s">
        <v>545</v>
      </c>
      <c r="C127" t="str">
        <f>INDEX('Open Source Tools'!D:D, MATCH(B127, 'Open Source Tools'!E:E, 0))</f>
        <v>Smart Grids</v>
      </c>
      <c r="D127">
        <v>1</v>
      </c>
      <c r="E127">
        <v>1</v>
      </c>
      <c r="F127">
        <v>1</v>
      </c>
      <c r="G127">
        <v>1</v>
      </c>
      <c r="H127">
        <v>1</v>
      </c>
      <c r="I127">
        <v>1</v>
      </c>
      <c r="J127" s="187">
        <v>1</v>
      </c>
      <c r="K127">
        <v>5</v>
      </c>
      <c r="L127">
        <v>5</v>
      </c>
      <c r="M127">
        <v>4</v>
      </c>
      <c r="N127">
        <v>5</v>
      </c>
      <c r="O127" s="187">
        <v>4.7777777777777777</v>
      </c>
      <c r="P127">
        <v>3</v>
      </c>
      <c r="Q127">
        <v>1</v>
      </c>
      <c r="R127" s="241">
        <v>1</v>
      </c>
      <c r="S127">
        <v>5</v>
      </c>
      <c r="T127">
        <v>2</v>
      </c>
      <c r="U127">
        <v>1</v>
      </c>
      <c r="V127" s="188">
        <v>2.1666666666666665</v>
      </c>
      <c r="W127">
        <v>5</v>
      </c>
      <c r="X127">
        <v>5</v>
      </c>
      <c r="Y127">
        <v>2</v>
      </c>
      <c r="Z127">
        <v>1</v>
      </c>
      <c r="AA127" s="188">
        <v>3.9166666666666665</v>
      </c>
      <c r="AB127" s="337">
        <v>3.3888888888888888</v>
      </c>
      <c r="AC127" s="256">
        <v>6</v>
      </c>
    </row>
    <row r="128" spans="1:29" ht="16" hidden="1" customHeight="1" x14ac:dyDescent="0.35">
      <c r="A128" s="102">
        <f>_xlfn.XLOOKUP(B128, 'Open Source Tools'!$E$3:$E$206, 'Open Source Tools'!$A$3:$A$206, "Not found")</f>
        <v>22</v>
      </c>
      <c r="B128" s="9" t="s">
        <v>776</v>
      </c>
      <c r="C128" t="str">
        <f>INDEX('Open Source Tools'!D:D, MATCH(B128, 'Open Source Tools'!E:E, 0))</f>
        <v>Blockchain Technology (or DLT)</v>
      </c>
      <c r="D128">
        <v>1</v>
      </c>
      <c r="E128">
        <v>1</v>
      </c>
      <c r="F128">
        <v>1</v>
      </c>
      <c r="G128">
        <v>2</v>
      </c>
      <c r="H128">
        <v>2</v>
      </c>
      <c r="I128">
        <v>3</v>
      </c>
      <c r="J128" s="187">
        <v>1.8333333333333333</v>
      </c>
      <c r="K128">
        <v>5</v>
      </c>
      <c r="L128">
        <v>3</v>
      </c>
      <c r="M128">
        <v>4</v>
      </c>
      <c r="N128">
        <v>5</v>
      </c>
      <c r="O128" s="187">
        <v>4.333333333333333</v>
      </c>
      <c r="P128">
        <v>4</v>
      </c>
      <c r="Q128">
        <v>1</v>
      </c>
      <c r="R128">
        <v>5</v>
      </c>
      <c r="S128">
        <v>5</v>
      </c>
      <c r="T128">
        <v>2</v>
      </c>
      <c r="U128">
        <v>3</v>
      </c>
      <c r="V128" s="188">
        <v>3.6666666666666665</v>
      </c>
      <c r="W128">
        <v>3</v>
      </c>
      <c r="X128">
        <v>5</v>
      </c>
      <c r="Y128">
        <v>3</v>
      </c>
      <c r="Z128">
        <v>3</v>
      </c>
      <c r="AA128" s="188">
        <v>3.5</v>
      </c>
      <c r="AB128" s="337">
        <v>3.4416666666666664</v>
      </c>
      <c r="AC128" s="256">
        <v>6</v>
      </c>
    </row>
    <row r="129" spans="1:29" ht="16" x14ac:dyDescent="0.35">
      <c r="A129" s="102">
        <f>_xlfn.XLOOKUP(B129, 'Open Source Tools'!$E$3:$E$206, 'Open Source Tools'!$A$3:$A$206, "Not found")</f>
        <v>181</v>
      </c>
      <c r="B129" s="9" t="s">
        <v>2849</v>
      </c>
      <c r="C129" t="str">
        <f>INDEX('Open Source Tools'!D:D, MATCH(B129, 'Open Source Tools'!E:E, 0))</f>
        <v>Automated Billing Platforms (Dynamic pricing Billing systems)</v>
      </c>
      <c r="D129">
        <v>4</v>
      </c>
      <c r="E129">
        <v>3</v>
      </c>
      <c r="F129">
        <v>3</v>
      </c>
      <c r="G129">
        <v>3</v>
      </c>
      <c r="H129">
        <v>3</v>
      </c>
      <c r="I129">
        <v>4</v>
      </c>
      <c r="J129" s="187">
        <v>3.4166666666666665</v>
      </c>
      <c r="K129">
        <v>5</v>
      </c>
      <c r="L129">
        <v>4</v>
      </c>
      <c r="M129">
        <v>4</v>
      </c>
      <c r="N129">
        <v>5</v>
      </c>
      <c r="O129" s="187">
        <v>4.5555555555555554</v>
      </c>
      <c r="P129">
        <v>5</v>
      </c>
      <c r="Q129">
        <v>2</v>
      </c>
      <c r="R129">
        <v>5</v>
      </c>
      <c r="S129">
        <v>5</v>
      </c>
      <c r="T129">
        <v>5</v>
      </c>
      <c r="U129">
        <v>2</v>
      </c>
      <c r="V129" s="188">
        <v>4.25</v>
      </c>
      <c r="W129">
        <v>3</v>
      </c>
      <c r="X129">
        <v>3</v>
      </c>
      <c r="Y129">
        <v>3</v>
      </c>
      <c r="Z129">
        <v>1</v>
      </c>
      <c r="AA129" s="188">
        <v>2.8333333333333335</v>
      </c>
      <c r="AB129" s="337">
        <v>3.4777777777777779</v>
      </c>
      <c r="AC129" s="256">
        <v>6</v>
      </c>
    </row>
    <row r="130" spans="1:29" ht="16" x14ac:dyDescent="0.4">
      <c r="A130" s="102">
        <f>_xlfn.XLOOKUP(B130, 'Open Source Tools'!$E$3:$E$206, 'Open Source Tools'!$A$3:$A$206, "Not found")</f>
        <v>100</v>
      </c>
      <c r="B130" s="151" t="s">
        <v>514</v>
      </c>
      <c r="C130" t="str">
        <f>INDEX('Open Source Tools'!D:D, MATCH(B130, 'Open Source Tools'!E:E, 0))</f>
        <v>Community Energy Management Systems (CEMS)</v>
      </c>
      <c r="D130">
        <v>2</v>
      </c>
      <c r="E130">
        <v>2</v>
      </c>
      <c r="F130">
        <v>2</v>
      </c>
      <c r="G130">
        <v>2</v>
      </c>
      <c r="H130">
        <v>2</v>
      </c>
      <c r="I130">
        <v>3</v>
      </c>
      <c r="J130" s="187">
        <v>2.25</v>
      </c>
      <c r="K130">
        <v>5</v>
      </c>
      <c r="L130">
        <v>4</v>
      </c>
      <c r="M130">
        <v>4</v>
      </c>
      <c r="N130">
        <v>3</v>
      </c>
      <c r="O130" s="187">
        <v>4.1111111111111107</v>
      </c>
      <c r="P130">
        <v>3</v>
      </c>
      <c r="Q130">
        <v>1</v>
      </c>
      <c r="R130">
        <v>1</v>
      </c>
      <c r="S130">
        <v>1</v>
      </c>
      <c r="T130">
        <v>1</v>
      </c>
      <c r="U130">
        <v>2</v>
      </c>
      <c r="V130" s="188">
        <v>1.5</v>
      </c>
      <c r="W130">
        <v>5</v>
      </c>
      <c r="X130">
        <v>5</v>
      </c>
      <c r="Y130">
        <v>3</v>
      </c>
      <c r="Z130">
        <v>1</v>
      </c>
      <c r="AA130" s="188">
        <v>4.166666666666667</v>
      </c>
      <c r="AB130" s="337">
        <v>3.4680555555555554</v>
      </c>
      <c r="AC130" s="256">
        <v>6</v>
      </c>
    </row>
    <row r="131" spans="1:29" ht="16" x14ac:dyDescent="0.35">
      <c r="A131" s="102">
        <f>_xlfn.XLOOKUP(B131, 'Open Source Tools'!$E$3:$E$206, 'Open Source Tools'!$A$3:$A$206, "Not found")</f>
        <v>177</v>
      </c>
      <c r="B131" s="9" t="s">
        <v>2801</v>
      </c>
      <c r="C131" t="str">
        <f>INDEX('Open Source Tools'!D:D, MATCH(B131, 'Open Source Tools'!E:E, 0))</f>
        <v>Collaborative Decision-Making Platforms</v>
      </c>
      <c r="D131">
        <v>2</v>
      </c>
      <c r="E131">
        <v>1</v>
      </c>
      <c r="F131">
        <v>1</v>
      </c>
      <c r="G131">
        <v>1</v>
      </c>
      <c r="H131">
        <v>1</v>
      </c>
      <c r="I131">
        <v>3</v>
      </c>
      <c r="J131" s="187">
        <v>1.6666666666666667</v>
      </c>
      <c r="K131">
        <v>5</v>
      </c>
      <c r="L131">
        <v>5</v>
      </c>
      <c r="M131">
        <v>4</v>
      </c>
      <c r="N131">
        <v>1</v>
      </c>
      <c r="O131" s="187">
        <v>3.8888888888888888</v>
      </c>
      <c r="P131">
        <v>5</v>
      </c>
      <c r="Q131">
        <v>1</v>
      </c>
      <c r="R131">
        <v>1</v>
      </c>
      <c r="S131">
        <v>1</v>
      </c>
      <c r="T131">
        <v>1</v>
      </c>
      <c r="U131">
        <v>2</v>
      </c>
      <c r="V131" s="188">
        <v>1.8333333333333333</v>
      </c>
      <c r="W131">
        <v>5</v>
      </c>
      <c r="X131">
        <v>5</v>
      </c>
      <c r="Y131">
        <v>3</v>
      </c>
      <c r="Z131">
        <v>2</v>
      </c>
      <c r="AA131" s="188">
        <v>4.25</v>
      </c>
      <c r="AB131" s="337">
        <v>3.4277777777777776</v>
      </c>
      <c r="AC131" s="256">
        <v>6</v>
      </c>
    </row>
    <row r="132" spans="1:29" ht="16" x14ac:dyDescent="0.35">
      <c r="A132" s="102">
        <f>_xlfn.XLOOKUP(B132, 'Open Source Tools'!$E$3:$E$206, 'Open Source Tools'!$A$3:$A$206, "Not found")</f>
        <v>113</v>
      </c>
      <c r="B132" s="9" t="s">
        <v>1947</v>
      </c>
      <c r="C132" t="str">
        <f>INDEX('Open Source Tools'!D:D, MATCH(B132, 'Open Source Tools'!E:E, 0))</f>
        <v>Home Energy Management Systems (HEMS)</v>
      </c>
      <c r="D132">
        <v>2</v>
      </c>
      <c r="E132">
        <v>1</v>
      </c>
      <c r="F132">
        <v>2</v>
      </c>
      <c r="G132">
        <v>1</v>
      </c>
      <c r="H132">
        <v>1</v>
      </c>
      <c r="I132">
        <v>2</v>
      </c>
      <c r="J132" s="187">
        <v>1.5</v>
      </c>
      <c r="K132">
        <v>5</v>
      </c>
      <c r="L132">
        <v>5</v>
      </c>
      <c r="M132">
        <v>4</v>
      </c>
      <c r="N132">
        <v>5</v>
      </c>
      <c r="O132" s="187">
        <v>4.7777777777777777</v>
      </c>
      <c r="P132">
        <v>4</v>
      </c>
      <c r="Q132">
        <v>1</v>
      </c>
      <c r="R132">
        <v>2</v>
      </c>
      <c r="S132">
        <v>1</v>
      </c>
      <c r="T132">
        <v>1</v>
      </c>
      <c r="U132">
        <v>2</v>
      </c>
      <c r="V132" s="188">
        <v>1.9166666666666667</v>
      </c>
      <c r="W132">
        <v>5</v>
      </c>
      <c r="X132">
        <v>1</v>
      </c>
      <c r="Y132">
        <v>5</v>
      </c>
      <c r="Z132">
        <v>4</v>
      </c>
      <c r="AA132" s="188">
        <v>3.9166666666666665</v>
      </c>
      <c r="AB132" s="337">
        <v>3.4263888888888889</v>
      </c>
      <c r="AC132" s="256">
        <v>6</v>
      </c>
    </row>
    <row r="133" spans="1:29" ht="16" x14ac:dyDescent="0.35">
      <c r="A133" s="102">
        <f>_xlfn.XLOOKUP(B133, 'Open Source Tools'!$E$3:$E$206, 'Open Source Tools'!$A$3:$A$206, "Not found")</f>
        <v>108</v>
      </c>
      <c r="B133" s="9" t="s">
        <v>1859</v>
      </c>
      <c r="C133" t="str">
        <f>INDEX('Open Source Tools'!D:D, MATCH(B133, 'Open Source Tools'!E:E, 0))</f>
        <v>Home Energy Management Systems (HEMS)</v>
      </c>
      <c r="D133">
        <v>3</v>
      </c>
      <c r="E133">
        <v>2</v>
      </c>
      <c r="F133">
        <v>2</v>
      </c>
      <c r="G133">
        <v>3</v>
      </c>
      <c r="H133">
        <v>3</v>
      </c>
      <c r="I133">
        <v>4</v>
      </c>
      <c r="J133" s="187">
        <v>3</v>
      </c>
      <c r="K133">
        <v>5</v>
      </c>
      <c r="L133">
        <v>2</v>
      </c>
      <c r="M133">
        <v>5</v>
      </c>
      <c r="N133">
        <v>5</v>
      </c>
      <c r="O133" s="187">
        <v>4.333333333333333</v>
      </c>
      <c r="P133">
        <v>4</v>
      </c>
      <c r="Q133">
        <v>2</v>
      </c>
      <c r="R133">
        <v>4</v>
      </c>
      <c r="S133">
        <v>5</v>
      </c>
      <c r="T133">
        <v>5</v>
      </c>
      <c r="U133">
        <v>3</v>
      </c>
      <c r="V133" s="188">
        <v>4</v>
      </c>
      <c r="W133">
        <v>3</v>
      </c>
      <c r="X133">
        <v>3</v>
      </c>
      <c r="Y133">
        <v>3</v>
      </c>
      <c r="Z133">
        <v>3</v>
      </c>
      <c r="AA133" s="188">
        <v>3</v>
      </c>
      <c r="AB133" s="337">
        <v>3.4166666666666665</v>
      </c>
      <c r="AC133" s="256">
        <v>6</v>
      </c>
    </row>
    <row r="134" spans="1:29" ht="16" x14ac:dyDescent="0.35">
      <c r="A134" s="102">
        <f>_xlfn.XLOOKUP(B134, 'Open Source Tools'!$E$3:$E$206, 'Open Source Tools'!$A$3:$A$206, "Not found")</f>
        <v>124</v>
      </c>
      <c r="B134" s="9" t="s">
        <v>2108</v>
      </c>
      <c r="C134" t="str">
        <f>INDEX('Open Source Tools'!D:D, MATCH(B134, 'Open Source Tools'!E:E, 0))</f>
        <v>Real-Time Energy Monitoring Platforms</v>
      </c>
      <c r="D134">
        <v>3</v>
      </c>
      <c r="E134">
        <v>2</v>
      </c>
      <c r="F134">
        <v>2</v>
      </c>
      <c r="G134">
        <v>2</v>
      </c>
      <c r="H134">
        <v>1</v>
      </c>
      <c r="I134">
        <v>4</v>
      </c>
      <c r="J134" s="187">
        <v>2.5</v>
      </c>
      <c r="K134">
        <v>5</v>
      </c>
      <c r="L134">
        <v>4</v>
      </c>
      <c r="M134">
        <v>5</v>
      </c>
      <c r="N134">
        <v>3</v>
      </c>
      <c r="O134" s="187">
        <v>4.333333333333333</v>
      </c>
      <c r="P134">
        <v>4</v>
      </c>
      <c r="Q134">
        <v>1</v>
      </c>
      <c r="R134">
        <v>4</v>
      </c>
      <c r="S134">
        <v>1</v>
      </c>
      <c r="T134">
        <v>1</v>
      </c>
      <c r="U134">
        <v>1</v>
      </c>
      <c r="V134" s="188">
        <v>2.25</v>
      </c>
      <c r="W134">
        <v>5</v>
      </c>
      <c r="X134">
        <v>3</v>
      </c>
      <c r="Y134">
        <v>3</v>
      </c>
      <c r="Z134">
        <v>1</v>
      </c>
      <c r="AA134" s="188">
        <v>3.6666666666666665</v>
      </c>
      <c r="AB134" s="337">
        <v>3.4124999999999996</v>
      </c>
      <c r="AC134" s="256">
        <v>6</v>
      </c>
    </row>
    <row r="135" spans="1:29" ht="16" x14ac:dyDescent="0.35">
      <c r="A135" s="102">
        <f>_xlfn.XLOOKUP(B135, 'Open Source Tools'!$E$3:$E$206, 'Open Source Tools'!$A$3:$A$206, "Not found")</f>
        <v>151</v>
      </c>
      <c r="B135" s="9" t="s">
        <v>2472</v>
      </c>
      <c r="C135" t="str">
        <f>INDEX('Open Source Tools'!D:D, MATCH(B135, 'Open Source Tools'!E:E, 0))</f>
        <v>Community level Modelling</v>
      </c>
      <c r="D135">
        <v>2</v>
      </c>
      <c r="E135">
        <v>1</v>
      </c>
      <c r="F135">
        <v>1</v>
      </c>
      <c r="G135">
        <v>3</v>
      </c>
      <c r="H135">
        <v>2</v>
      </c>
      <c r="I135">
        <v>5</v>
      </c>
      <c r="J135" s="187">
        <v>2.6666666666666665</v>
      </c>
      <c r="K135">
        <v>5</v>
      </c>
      <c r="L135">
        <v>4</v>
      </c>
      <c r="M135">
        <v>4</v>
      </c>
      <c r="N135">
        <v>3</v>
      </c>
      <c r="O135" s="187">
        <v>4.1111111111111107</v>
      </c>
      <c r="P135">
        <v>3</v>
      </c>
      <c r="Q135">
        <v>2</v>
      </c>
      <c r="R135">
        <v>3</v>
      </c>
      <c r="S135">
        <v>5</v>
      </c>
      <c r="T135">
        <v>2</v>
      </c>
      <c r="U135">
        <v>2</v>
      </c>
      <c r="V135" s="188">
        <v>2.9166666666666665</v>
      </c>
      <c r="W135">
        <v>3</v>
      </c>
      <c r="X135">
        <v>5</v>
      </c>
      <c r="Y135">
        <v>3</v>
      </c>
      <c r="Z135">
        <v>3</v>
      </c>
      <c r="AA135" s="188">
        <v>3.5</v>
      </c>
      <c r="AB135" s="337">
        <v>3.4097222222222223</v>
      </c>
      <c r="AC135" s="256">
        <v>6</v>
      </c>
    </row>
    <row r="136" spans="1:29" ht="16" x14ac:dyDescent="0.35">
      <c r="A136" s="102">
        <f>_xlfn.XLOOKUP(B136, 'Open Source Tools'!$E$3:$E$206, 'Open Source Tools'!$A$3:$A$206, "Not found")</f>
        <v>128</v>
      </c>
      <c r="B136" s="9" t="s">
        <v>2163</v>
      </c>
      <c r="C136" t="str">
        <f>INDEX('Open Source Tools'!D:D, MATCH(B136, 'Open Source Tools'!E:E, 0))</f>
        <v>Energy Analytics Platforms</v>
      </c>
      <c r="D136">
        <v>3</v>
      </c>
      <c r="E136">
        <v>2</v>
      </c>
      <c r="F136">
        <v>2</v>
      </c>
      <c r="G136">
        <v>1</v>
      </c>
      <c r="H136">
        <v>2</v>
      </c>
      <c r="I136">
        <v>5</v>
      </c>
      <c r="J136" s="187">
        <v>2.75</v>
      </c>
      <c r="K136">
        <v>5</v>
      </c>
      <c r="L136">
        <v>4</v>
      </c>
      <c r="M136">
        <v>4</v>
      </c>
      <c r="N136">
        <v>5</v>
      </c>
      <c r="O136" s="187">
        <v>4.5555555555555554</v>
      </c>
      <c r="P136">
        <v>4</v>
      </c>
      <c r="Q136">
        <v>2</v>
      </c>
      <c r="R136">
        <v>5</v>
      </c>
      <c r="S136">
        <v>5</v>
      </c>
      <c r="T136">
        <v>5</v>
      </c>
      <c r="U136">
        <v>4</v>
      </c>
      <c r="V136" s="188">
        <v>4.416666666666667</v>
      </c>
      <c r="W136">
        <v>3</v>
      </c>
      <c r="X136">
        <v>3</v>
      </c>
      <c r="Y136">
        <v>3</v>
      </c>
      <c r="Z136">
        <v>1</v>
      </c>
      <c r="AA136" s="188">
        <v>2.8333333333333335</v>
      </c>
      <c r="AB136" s="337">
        <v>3.4027777777777777</v>
      </c>
      <c r="AC136" s="256">
        <v>6</v>
      </c>
    </row>
    <row r="137" spans="1:29" ht="16" x14ac:dyDescent="0.35">
      <c r="A137" s="102">
        <f>_xlfn.XLOOKUP(B137, 'Open Source Tools'!$E$3:$E$206, 'Open Source Tools'!$A$3:$A$206, "Not found")</f>
        <v>153</v>
      </c>
      <c r="B137" s="9" t="s">
        <v>2498</v>
      </c>
      <c r="C137" t="str">
        <f>INDEX('Open Source Tools'!D:D, MATCH(B137, 'Open Source Tools'!E:E, 0))</f>
        <v>Community level Modelling</v>
      </c>
      <c r="D137">
        <v>2</v>
      </c>
      <c r="E137">
        <v>2</v>
      </c>
      <c r="F137">
        <v>2</v>
      </c>
      <c r="G137">
        <v>1</v>
      </c>
      <c r="H137">
        <v>5</v>
      </c>
      <c r="I137">
        <v>3</v>
      </c>
      <c r="J137" s="187">
        <v>2.5833333333333335</v>
      </c>
      <c r="K137">
        <v>5</v>
      </c>
      <c r="L137">
        <v>5</v>
      </c>
      <c r="M137">
        <v>1</v>
      </c>
      <c r="N137">
        <v>5</v>
      </c>
      <c r="O137" s="187">
        <v>4.1111111111111107</v>
      </c>
      <c r="P137">
        <v>5</v>
      </c>
      <c r="Q137">
        <v>1</v>
      </c>
      <c r="R137">
        <v>1</v>
      </c>
      <c r="S137">
        <v>5</v>
      </c>
      <c r="T137">
        <v>2</v>
      </c>
      <c r="U137">
        <v>2</v>
      </c>
      <c r="V137" s="188">
        <v>2.6666666666666665</v>
      </c>
      <c r="W137">
        <v>3</v>
      </c>
      <c r="X137">
        <v>5</v>
      </c>
      <c r="Y137">
        <v>3</v>
      </c>
      <c r="Z137">
        <v>4</v>
      </c>
      <c r="AA137" s="188">
        <v>3.5833333333333335</v>
      </c>
      <c r="AB137" s="337">
        <v>3.4013888888888886</v>
      </c>
      <c r="AC137" s="256">
        <v>6</v>
      </c>
    </row>
    <row r="138" spans="1:29" ht="16" x14ac:dyDescent="0.35">
      <c r="A138" s="102">
        <f>_xlfn.XLOOKUP(B138, 'Open Source Tools'!$E$3:$E$206, 'Open Source Tools'!$A$3:$A$206, "Not found")</f>
        <v>180</v>
      </c>
      <c r="B138" s="9" t="s">
        <v>2838</v>
      </c>
      <c r="C138" t="str">
        <f>INDEX('Open Source Tools'!D:D, MATCH(B138, 'Open Source Tools'!E:E, 0))</f>
        <v>Automated Billing Platforms (Dynamic pricing Billing systems)</v>
      </c>
      <c r="D138">
        <v>2</v>
      </c>
      <c r="E138">
        <v>2</v>
      </c>
      <c r="F138">
        <v>2</v>
      </c>
      <c r="G138">
        <v>2</v>
      </c>
      <c r="H138">
        <v>1</v>
      </c>
      <c r="I138">
        <v>3</v>
      </c>
      <c r="J138" s="187">
        <v>2.0833333333333335</v>
      </c>
      <c r="K138">
        <v>5</v>
      </c>
      <c r="L138">
        <v>5</v>
      </c>
      <c r="M138">
        <v>4</v>
      </c>
      <c r="N138">
        <v>5</v>
      </c>
      <c r="O138" s="187">
        <v>4.7777777777777777</v>
      </c>
      <c r="P138">
        <v>4</v>
      </c>
      <c r="Q138">
        <v>1</v>
      </c>
      <c r="R138">
        <v>2</v>
      </c>
      <c r="S138">
        <v>5</v>
      </c>
      <c r="T138">
        <v>5</v>
      </c>
      <c r="U138">
        <v>1</v>
      </c>
      <c r="V138" s="188">
        <v>3.0833333333333335</v>
      </c>
      <c r="W138">
        <v>3</v>
      </c>
      <c r="X138">
        <v>5</v>
      </c>
      <c r="Y138">
        <v>3</v>
      </c>
      <c r="Z138">
        <v>1</v>
      </c>
      <c r="AA138" s="188">
        <v>3.3333333333333335</v>
      </c>
      <c r="AB138" s="337">
        <v>3.3972222222222221</v>
      </c>
      <c r="AC138" s="256">
        <v>6</v>
      </c>
    </row>
    <row r="139" spans="1:29" ht="16" customHeight="1" x14ac:dyDescent="0.35">
      <c r="A139" s="102">
        <f>_xlfn.XLOOKUP(B139, 'Open Source Tools'!$E$3:$E$206, 'Open Source Tools'!$A$3:$A$206, "Not found")</f>
        <v>149</v>
      </c>
      <c r="B139" s="9" t="s">
        <v>2445</v>
      </c>
      <c r="C139" t="str">
        <f>INDEX('Open Source Tools'!D:D, MATCH(B139, 'Open Source Tools'!E:E, 0))</f>
        <v>Community level Modelling</v>
      </c>
      <c r="D139">
        <v>2</v>
      </c>
      <c r="E139">
        <v>2</v>
      </c>
      <c r="F139">
        <v>3</v>
      </c>
      <c r="G139">
        <v>1</v>
      </c>
      <c r="H139">
        <v>2</v>
      </c>
      <c r="I139">
        <v>1</v>
      </c>
      <c r="J139" s="187">
        <v>1.6666666666666667</v>
      </c>
      <c r="K139">
        <v>5</v>
      </c>
      <c r="L139">
        <v>3</v>
      </c>
      <c r="M139">
        <v>1</v>
      </c>
      <c r="N139">
        <v>5</v>
      </c>
      <c r="O139" s="187">
        <v>3.6666666666666665</v>
      </c>
      <c r="P139">
        <v>4</v>
      </c>
      <c r="Q139">
        <v>1</v>
      </c>
      <c r="R139">
        <v>2</v>
      </c>
      <c r="S139">
        <v>1</v>
      </c>
      <c r="T139">
        <v>1</v>
      </c>
      <c r="U139">
        <v>3</v>
      </c>
      <c r="V139" s="188">
        <v>2.0833333333333335</v>
      </c>
      <c r="W139">
        <v>5</v>
      </c>
      <c r="X139">
        <v>5</v>
      </c>
      <c r="Y139">
        <v>3</v>
      </c>
      <c r="Z139">
        <v>1</v>
      </c>
      <c r="AA139" s="188">
        <v>4.166666666666667</v>
      </c>
      <c r="AB139" s="337">
        <v>3.3791666666666669</v>
      </c>
      <c r="AC139" s="256">
        <v>6</v>
      </c>
    </row>
    <row r="140" spans="1:29" ht="16" customHeight="1" x14ac:dyDescent="0.35">
      <c r="A140" s="102">
        <f>_xlfn.XLOOKUP(B140, 'Open Source Tools'!$E$3:$E$206, 'Open Source Tools'!$A$3:$A$206, "Not found")</f>
        <v>189</v>
      </c>
      <c r="B140" s="9" t="s">
        <v>2954</v>
      </c>
      <c r="C140" t="str">
        <f>INDEX('Open Source Tools'!D:D, MATCH(B140, 'Open Source Tools'!E:E, 0))</f>
        <v>DSO level modelling</v>
      </c>
      <c r="D140">
        <v>2</v>
      </c>
      <c r="E140">
        <v>2</v>
      </c>
      <c r="F140">
        <v>2</v>
      </c>
      <c r="G140">
        <v>4</v>
      </c>
      <c r="H140">
        <v>3</v>
      </c>
      <c r="I140">
        <v>5</v>
      </c>
      <c r="J140" s="187">
        <v>3.25</v>
      </c>
      <c r="K140">
        <v>5</v>
      </c>
      <c r="L140">
        <v>3</v>
      </c>
      <c r="M140">
        <v>4</v>
      </c>
      <c r="N140">
        <v>5</v>
      </c>
      <c r="O140" s="187">
        <v>4.333333333333333</v>
      </c>
      <c r="P140">
        <v>5</v>
      </c>
      <c r="Q140">
        <v>3</v>
      </c>
      <c r="R140">
        <v>1</v>
      </c>
      <c r="S140">
        <v>5</v>
      </c>
      <c r="T140">
        <v>5</v>
      </c>
      <c r="U140">
        <v>3</v>
      </c>
      <c r="V140" s="188">
        <v>3.5</v>
      </c>
      <c r="W140">
        <v>3</v>
      </c>
      <c r="X140">
        <v>3</v>
      </c>
      <c r="Y140">
        <v>3</v>
      </c>
      <c r="Z140">
        <v>3</v>
      </c>
      <c r="AA140" s="188">
        <v>3</v>
      </c>
      <c r="AB140" s="337">
        <v>3.3791666666666669</v>
      </c>
      <c r="AC140" s="256">
        <v>6</v>
      </c>
    </row>
    <row r="141" spans="1:29" ht="16" x14ac:dyDescent="0.35">
      <c r="A141" s="102">
        <f>_xlfn.XLOOKUP(B141, 'Open Source Tools'!$E$3:$E$206, 'Open Source Tools'!$A$3:$A$206, "Not found")</f>
        <v>98</v>
      </c>
      <c r="B141" s="9" t="s">
        <v>1711</v>
      </c>
      <c r="C141" t="str">
        <f>INDEX('Open Source Tools'!D:D, MATCH(B141, 'Open Source Tools'!E:E, 0))</f>
        <v>Community Energy Management Systems (CEMS)</v>
      </c>
      <c r="D141">
        <v>3</v>
      </c>
      <c r="E141">
        <v>3</v>
      </c>
      <c r="F141">
        <v>3</v>
      </c>
      <c r="G141">
        <v>3</v>
      </c>
      <c r="H141">
        <v>3</v>
      </c>
      <c r="I141">
        <v>4</v>
      </c>
      <c r="J141" s="187">
        <v>3.25</v>
      </c>
      <c r="K141">
        <v>5</v>
      </c>
      <c r="L141">
        <v>5</v>
      </c>
      <c r="M141">
        <v>4</v>
      </c>
      <c r="N141">
        <v>5</v>
      </c>
      <c r="O141" s="187">
        <v>4.7777777777777777</v>
      </c>
      <c r="P141">
        <v>5</v>
      </c>
      <c r="Q141">
        <v>3</v>
      </c>
      <c r="R141">
        <v>1</v>
      </c>
      <c r="S141">
        <v>5</v>
      </c>
      <c r="T141">
        <v>5</v>
      </c>
      <c r="U141">
        <v>4</v>
      </c>
      <c r="V141" s="188">
        <v>3.6666666666666665</v>
      </c>
      <c r="W141">
        <v>1</v>
      </c>
      <c r="X141">
        <v>5</v>
      </c>
      <c r="Y141">
        <v>3</v>
      </c>
      <c r="Z141">
        <v>4</v>
      </c>
      <c r="AA141" s="188">
        <v>2.75</v>
      </c>
      <c r="AB141" s="337">
        <v>3.3680555555555554</v>
      </c>
      <c r="AC141" s="256">
        <v>6</v>
      </c>
    </row>
    <row r="142" spans="1:29" ht="16" customHeight="1" x14ac:dyDescent="0.35">
      <c r="A142" s="102">
        <f>_xlfn.XLOOKUP(B142, 'Open Source Tools'!$E$3:$E$206, 'Open Source Tools'!$A$3:$A$206, "Not found")</f>
        <v>140</v>
      </c>
      <c r="B142" s="9" t="s">
        <v>2323</v>
      </c>
      <c r="C142" t="str">
        <f>INDEX('Open Source Tools'!D:D, MATCH(B142, 'Open Source Tools'!E:E, 0))</f>
        <v>DSO level modelling</v>
      </c>
      <c r="D142">
        <v>3</v>
      </c>
      <c r="E142">
        <v>2</v>
      </c>
      <c r="F142">
        <v>2</v>
      </c>
      <c r="G142">
        <v>3</v>
      </c>
      <c r="H142">
        <v>2</v>
      </c>
      <c r="I142">
        <v>2</v>
      </c>
      <c r="J142" s="187">
        <v>2.3333333333333335</v>
      </c>
      <c r="K142">
        <v>5</v>
      </c>
      <c r="L142">
        <v>5</v>
      </c>
      <c r="M142">
        <v>2</v>
      </c>
      <c r="N142">
        <v>5</v>
      </c>
      <c r="O142" s="187">
        <v>4.333333333333333</v>
      </c>
      <c r="P142">
        <v>4</v>
      </c>
      <c r="Q142">
        <v>2</v>
      </c>
      <c r="R142">
        <v>3</v>
      </c>
      <c r="S142">
        <v>5</v>
      </c>
      <c r="T142">
        <v>5</v>
      </c>
      <c r="U142">
        <v>3</v>
      </c>
      <c r="V142" s="188">
        <v>3.75</v>
      </c>
      <c r="W142">
        <v>3</v>
      </c>
      <c r="X142">
        <v>5</v>
      </c>
      <c r="Y142">
        <v>2</v>
      </c>
      <c r="Z142">
        <v>2</v>
      </c>
      <c r="AA142" s="188">
        <v>3.1666666666666665</v>
      </c>
      <c r="AB142" s="337">
        <v>3.3624999999999998</v>
      </c>
      <c r="AC142" s="256">
        <v>6</v>
      </c>
    </row>
    <row r="143" spans="1:29" ht="16" x14ac:dyDescent="0.35">
      <c r="A143" s="102">
        <f>_xlfn.XLOOKUP(B143, 'Open Source Tools'!$E$3:$E$206, 'Open Source Tools'!$A$3:$A$206, "Not found")</f>
        <v>26</v>
      </c>
      <c r="B143" s="9" t="s">
        <v>3215</v>
      </c>
      <c r="C143" t="str">
        <f>INDEX('Open Source Tools'!D:D, MATCH(B143, 'Open Source Tools'!E:E, 0))</f>
        <v>Mobile Apps</v>
      </c>
      <c r="D143">
        <v>1</v>
      </c>
      <c r="E143">
        <v>1</v>
      </c>
      <c r="F143">
        <v>1</v>
      </c>
      <c r="G143">
        <v>2</v>
      </c>
      <c r="H143">
        <v>1</v>
      </c>
      <c r="I143">
        <v>3</v>
      </c>
      <c r="J143" s="187">
        <v>1.6666666666666667</v>
      </c>
      <c r="K143">
        <v>5</v>
      </c>
      <c r="L143">
        <v>5</v>
      </c>
      <c r="M143">
        <v>4</v>
      </c>
      <c r="N143">
        <v>5</v>
      </c>
      <c r="O143" s="187">
        <v>4.7777777777777777</v>
      </c>
      <c r="P143">
        <v>3</v>
      </c>
      <c r="Q143">
        <v>2</v>
      </c>
      <c r="R143">
        <v>4</v>
      </c>
      <c r="S143">
        <v>5</v>
      </c>
      <c r="T143">
        <v>5</v>
      </c>
      <c r="U143">
        <v>1</v>
      </c>
      <c r="V143" s="188">
        <v>3.5</v>
      </c>
      <c r="W143">
        <v>3</v>
      </c>
      <c r="X143">
        <v>5</v>
      </c>
      <c r="Y143">
        <v>2</v>
      </c>
      <c r="Z143">
        <v>2</v>
      </c>
      <c r="AA143" s="188">
        <v>3.1666666666666665</v>
      </c>
      <c r="AB143" s="337">
        <v>3.3138888888888891</v>
      </c>
      <c r="AC143" s="256">
        <v>6</v>
      </c>
    </row>
    <row r="144" spans="1:29" ht="16" x14ac:dyDescent="0.35">
      <c r="A144" s="102">
        <f>_xlfn.XLOOKUP(B144, 'Open Source Tools'!$E$3:$E$206, 'Open Source Tools'!$A$3:$A$206, "Not found")</f>
        <v>173</v>
      </c>
      <c r="B144" s="9" t="s">
        <v>2752</v>
      </c>
      <c r="C144" t="str">
        <f>INDEX('Open Source Tools'!D:D, MATCH(B144, 'Open Source Tools'!E:E, 0))</f>
        <v>Collaborative Decision-Making Platforms</v>
      </c>
      <c r="D144">
        <v>1</v>
      </c>
      <c r="E144">
        <v>1</v>
      </c>
      <c r="F144">
        <v>1</v>
      </c>
      <c r="G144">
        <v>1</v>
      </c>
      <c r="H144">
        <v>2</v>
      </c>
      <c r="I144">
        <v>4</v>
      </c>
      <c r="J144" s="187">
        <v>1.9166666666666667</v>
      </c>
      <c r="K144">
        <v>5</v>
      </c>
      <c r="L144">
        <v>4</v>
      </c>
      <c r="M144">
        <v>4</v>
      </c>
      <c r="N144">
        <v>5</v>
      </c>
      <c r="O144" s="187">
        <v>4.5555555555555554</v>
      </c>
      <c r="P144">
        <v>5</v>
      </c>
      <c r="Q144">
        <v>2</v>
      </c>
      <c r="R144">
        <v>4</v>
      </c>
      <c r="S144">
        <v>5</v>
      </c>
      <c r="T144">
        <v>5</v>
      </c>
      <c r="U144">
        <v>2</v>
      </c>
      <c r="V144" s="188">
        <v>4</v>
      </c>
      <c r="W144">
        <v>3</v>
      </c>
      <c r="X144">
        <v>3</v>
      </c>
      <c r="Y144">
        <v>3</v>
      </c>
      <c r="Z144">
        <v>3</v>
      </c>
      <c r="AA144" s="188">
        <v>3</v>
      </c>
      <c r="AB144" s="337">
        <v>3.2986111111111112</v>
      </c>
      <c r="AC144" s="256">
        <v>6</v>
      </c>
    </row>
    <row r="145" spans="1:29" ht="16" x14ac:dyDescent="0.35">
      <c r="A145" s="102">
        <f>_xlfn.XLOOKUP(B145, 'Open Source Tools'!$E$3:$E$206, 'Open Source Tools'!$A$3:$A$206, "Not found")</f>
        <v>101</v>
      </c>
      <c r="B145" s="9" t="s">
        <v>1754</v>
      </c>
      <c r="C145" t="str">
        <f>INDEX('Open Source Tools'!D:D, MATCH(B145, 'Open Source Tools'!E:E, 0))</f>
        <v>Community Energy Management Systems (CEMS)</v>
      </c>
      <c r="D145">
        <v>2</v>
      </c>
      <c r="E145">
        <v>2</v>
      </c>
      <c r="F145">
        <v>1</v>
      </c>
      <c r="G145">
        <v>2</v>
      </c>
      <c r="H145">
        <v>1</v>
      </c>
      <c r="I145">
        <v>2</v>
      </c>
      <c r="J145" s="187">
        <v>1.75</v>
      </c>
      <c r="K145">
        <v>5</v>
      </c>
      <c r="L145">
        <v>4</v>
      </c>
      <c r="M145">
        <v>1</v>
      </c>
      <c r="N145">
        <v>3</v>
      </c>
      <c r="O145" s="187">
        <v>3.4444444444444446</v>
      </c>
      <c r="P145">
        <v>4</v>
      </c>
      <c r="Q145">
        <v>1</v>
      </c>
      <c r="R145">
        <v>5</v>
      </c>
      <c r="S145">
        <v>1</v>
      </c>
      <c r="T145">
        <v>1</v>
      </c>
      <c r="U145">
        <v>1</v>
      </c>
      <c r="V145" s="188">
        <v>2.5</v>
      </c>
      <c r="W145">
        <v>5</v>
      </c>
      <c r="X145">
        <v>3</v>
      </c>
      <c r="Y145">
        <v>3</v>
      </c>
      <c r="Z145">
        <v>4</v>
      </c>
      <c r="AA145" s="188">
        <v>3.9166666666666665</v>
      </c>
      <c r="AB145" s="337">
        <v>3.2847222222222223</v>
      </c>
      <c r="AC145" s="256">
        <v>6</v>
      </c>
    </row>
    <row r="146" spans="1:29" ht="16" x14ac:dyDescent="0.35">
      <c r="A146" s="102">
        <f>_xlfn.XLOOKUP(B146, 'Open Source Tools'!$E$3:$E$206, 'Open Source Tools'!$A$3:$A$206, "Not found")</f>
        <v>119</v>
      </c>
      <c r="B146" s="9" t="s">
        <v>2032</v>
      </c>
      <c r="C146" t="str">
        <f>INDEX('Open Source Tools'!D:D, MATCH(B146, 'Open Source Tools'!E:E, 0))</f>
        <v>Demand Response Systems</v>
      </c>
      <c r="D146">
        <v>2</v>
      </c>
      <c r="E146">
        <v>1</v>
      </c>
      <c r="F146">
        <v>2</v>
      </c>
      <c r="G146">
        <v>3</v>
      </c>
      <c r="H146">
        <v>2</v>
      </c>
      <c r="I146">
        <v>4</v>
      </c>
      <c r="J146" s="187">
        <v>2.5</v>
      </c>
      <c r="K146">
        <v>5</v>
      </c>
      <c r="L146">
        <v>4</v>
      </c>
      <c r="M146">
        <v>4</v>
      </c>
      <c r="N146">
        <v>5</v>
      </c>
      <c r="O146" s="187">
        <v>4.5555555555555554</v>
      </c>
      <c r="P146">
        <v>4</v>
      </c>
      <c r="Q146">
        <v>2</v>
      </c>
      <c r="R146">
        <v>3</v>
      </c>
      <c r="S146">
        <v>5</v>
      </c>
      <c r="T146">
        <v>5</v>
      </c>
      <c r="U146">
        <v>3</v>
      </c>
      <c r="V146" s="188">
        <v>3.75</v>
      </c>
      <c r="W146">
        <v>3</v>
      </c>
      <c r="X146">
        <v>3</v>
      </c>
      <c r="Y146">
        <v>3</v>
      </c>
      <c r="Z146">
        <v>1</v>
      </c>
      <c r="AA146" s="188">
        <v>2.8333333333333335</v>
      </c>
      <c r="AB146" s="337">
        <v>3.2652777777777775</v>
      </c>
      <c r="AC146" s="256">
        <v>6</v>
      </c>
    </row>
    <row r="147" spans="1:29" ht="16" x14ac:dyDescent="0.35">
      <c r="A147" s="102">
        <f>_xlfn.XLOOKUP(B147, 'Open Source Tools'!$E$3:$E$206, 'Open Source Tools'!$A$3:$A$206, "Not found")</f>
        <v>77</v>
      </c>
      <c r="B147" s="9" t="s">
        <v>1459</v>
      </c>
      <c r="C147" t="str">
        <f>INDEX('Open Source Tools'!D:D, MATCH(B147, 'Open Source Tools'!E:E, 0))</f>
        <v>Data Visualization Tools</v>
      </c>
      <c r="D147">
        <v>4</v>
      </c>
      <c r="E147">
        <v>3</v>
      </c>
      <c r="F147">
        <v>1</v>
      </c>
      <c r="G147">
        <v>3</v>
      </c>
      <c r="H147">
        <v>3</v>
      </c>
      <c r="I147">
        <v>2</v>
      </c>
      <c r="J147" s="187">
        <v>2.75</v>
      </c>
      <c r="K147">
        <v>5</v>
      </c>
      <c r="L147">
        <v>2</v>
      </c>
      <c r="M147">
        <v>4</v>
      </c>
      <c r="N147">
        <v>5</v>
      </c>
      <c r="O147" s="187">
        <v>4.1111111111111107</v>
      </c>
      <c r="P147">
        <v>4</v>
      </c>
      <c r="Q147">
        <v>3</v>
      </c>
      <c r="R147">
        <v>3</v>
      </c>
      <c r="S147">
        <v>5</v>
      </c>
      <c r="T147">
        <v>5</v>
      </c>
      <c r="U147">
        <v>3</v>
      </c>
      <c r="V147" s="188">
        <v>3.8333333333333335</v>
      </c>
      <c r="W147">
        <v>3</v>
      </c>
      <c r="X147">
        <v>3</v>
      </c>
      <c r="Y147">
        <v>3</v>
      </c>
      <c r="Z147">
        <v>1</v>
      </c>
      <c r="AA147" s="188">
        <v>2.8333333333333335</v>
      </c>
      <c r="AB147" s="337">
        <v>3.2263888888888888</v>
      </c>
      <c r="AC147" s="256">
        <v>6</v>
      </c>
    </row>
    <row r="148" spans="1:29" ht="16" x14ac:dyDescent="0.35">
      <c r="A148" s="102">
        <f>_xlfn.XLOOKUP(B148, 'Open Source Tools'!$E$3:$E$206, 'Open Source Tools'!$A$3:$A$206, "Not found")</f>
        <v>57</v>
      </c>
      <c r="B148" s="9" t="s">
        <v>1221</v>
      </c>
      <c r="C148" t="str">
        <f>INDEX('Open Source Tools'!D:D, MATCH(B148, 'Open Source Tools'!E:E, 0))</f>
        <v>AI-Driven Energy Optimization</v>
      </c>
      <c r="D148">
        <v>2</v>
      </c>
      <c r="E148">
        <v>2</v>
      </c>
      <c r="F148">
        <v>2</v>
      </c>
      <c r="G148">
        <v>1</v>
      </c>
      <c r="H148">
        <v>1</v>
      </c>
      <c r="I148">
        <v>2</v>
      </c>
      <c r="J148" s="187">
        <v>1.6666666666666667</v>
      </c>
      <c r="K148">
        <v>5</v>
      </c>
      <c r="L148">
        <v>5</v>
      </c>
      <c r="M148">
        <v>4</v>
      </c>
      <c r="N148">
        <v>5</v>
      </c>
      <c r="O148" s="187">
        <v>4.7777777777777777</v>
      </c>
      <c r="P148">
        <v>3</v>
      </c>
      <c r="Q148">
        <v>1</v>
      </c>
      <c r="R148">
        <v>2</v>
      </c>
      <c r="S148">
        <v>5</v>
      </c>
      <c r="T148">
        <v>5</v>
      </c>
      <c r="U148">
        <v>3</v>
      </c>
      <c r="V148" s="188">
        <v>3.25</v>
      </c>
      <c r="W148">
        <v>3</v>
      </c>
      <c r="X148">
        <v>3</v>
      </c>
      <c r="Y148">
        <v>3</v>
      </c>
      <c r="Z148">
        <v>3</v>
      </c>
      <c r="AA148" s="188">
        <v>3</v>
      </c>
      <c r="AB148" s="337">
        <v>3.1930555555555555</v>
      </c>
      <c r="AC148" s="256">
        <v>6</v>
      </c>
    </row>
    <row r="149" spans="1:29" ht="16" x14ac:dyDescent="0.35">
      <c r="A149" s="102">
        <f>_xlfn.XLOOKUP(B149, 'Open Source Tools'!$E$3:$E$206, 'Open Source Tools'!$A$3:$A$206, "Not found")</f>
        <v>60</v>
      </c>
      <c r="B149" s="9" t="s">
        <v>1254</v>
      </c>
      <c r="C149" t="str">
        <f>INDEX('Open Source Tools'!D:D, MATCH(B149, 'Open Source Tools'!E:E, 0))</f>
        <v>Anomaly Detection in Energy Systems</v>
      </c>
      <c r="D149">
        <v>2</v>
      </c>
      <c r="E149">
        <v>1</v>
      </c>
      <c r="F149">
        <v>2</v>
      </c>
      <c r="G149">
        <v>2</v>
      </c>
      <c r="H149">
        <v>2</v>
      </c>
      <c r="I149">
        <v>4</v>
      </c>
      <c r="J149" s="187">
        <v>2.3333333333333335</v>
      </c>
      <c r="K149">
        <v>5</v>
      </c>
      <c r="L149">
        <v>5</v>
      </c>
      <c r="M149">
        <v>2</v>
      </c>
      <c r="N149">
        <v>5</v>
      </c>
      <c r="O149" s="187">
        <v>4.333333333333333</v>
      </c>
      <c r="P149">
        <v>3</v>
      </c>
      <c r="Q149">
        <v>2</v>
      </c>
      <c r="R149">
        <v>4</v>
      </c>
      <c r="S149">
        <v>5</v>
      </c>
      <c r="T149">
        <v>5</v>
      </c>
      <c r="U149">
        <v>2</v>
      </c>
      <c r="V149" s="188">
        <v>3.6666666666666665</v>
      </c>
      <c r="W149">
        <v>3</v>
      </c>
      <c r="X149">
        <v>3</v>
      </c>
      <c r="Y149">
        <v>3</v>
      </c>
      <c r="Z149">
        <v>1</v>
      </c>
      <c r="AA149" s="188">
        <v>2.8333333333333335</v>
      </c>
      <c r="AB149" s="337">
        <v>3.1833333333333336</v>
      </c>
      <c r="AC149" s="256">
        <v>6</v>
      </c>
    </row>
    <row r="150" spans="1:29" ht="16" x14ac:dyDescent="0.35">
      <c r="A150" s="102">
        <f>_xlfn.XLOOKUP(B150, 'Open Source Tools'!$E$3:$E$206, 'Open Source Tools'!$A$3:$A$206, "Not found")</f>
        <v>54</v>
      </c>
      <c r="B150" s="9" t="s">
        <v>1189</v>
      </c>
      <c r="C150" t="str">
        <f>INDEX('Open Source Tools'!D:D, MATCH(B150, 'Open Source Tools'!E:E, 0))</f>
        <v>Machine Learning Algorithms</v>
      </c>
      <c r="D150">
        <v>3</v>
      </c>
      <c r="E150">
        <v>2</v>
      </c>
      <c r="F150">
        <v>1</v>
      </c>
      <c r="G150">
        <v>2</v>
      </c>
      <c r="H150">
        <v>2</v>
      </c>
      <c r="I150">
        <v>3</v>
      </c>
      <c r="J150" s="187">
        <v>2.3333333333333335</v>
      </c>
      <c r="K150">
        <v>5</v>
      </c>
      <c r="L150">
        <v>5</v>
      </c>
      <c r="M150">
        <v>4</v>
      </c>
      <c r="N150">
        <v>5</v>
      </c>
      <c r="O150" s="187">
        <v>4.7777777777777777</v>
      </c>
      <c r="P150">
        <v>4</v>
      </c>
      <c r="Q150">
        <v>2</v>
      </c>
      <c r="R150">
        <v>4</v>
      </c>
      <c r="S150">
        <v>5</v>
      </c>
      <c r="T150">
        <v>5</v>
      </c>
      <c r="U150">
        <v>3</v>
      </c>
      <c r="V150" s="188">
        <v>4</v>
      </c>
      <c r="W150">
        <v>1</v>
      </c>
      <c r="X150">
        <v>5</v>
      </c>
      <c r="Y150">
        <v>3</v>
      </c>
      <c r="Z150">
        <v>1</v>
      </c>
      <c r="AA150" s="188">
        <v>2.5</v>
      </c>
      <c r="AB150" s="337">
        <v>3.1555555555555554</v>
      </c>
      <c r="AC150" s="256">
        <v>6</v>
      </c>
    </row>
    <row r="151" spans="1:29" ht="16" x14ac:dyDescent="0.35">
      <c r="A151" s="102">
        <f>_xlfn.XLOOKUP(B151, 'Open Source Tools'!$E$3:$E$206, 'Open Source Tools'!$A$3:$A$206, "Not found")</f>
        <v>176</v>
      </c>
      <c r="B151" s="192" t="s">
        <v>2789</v>
      </c>
      <c r="C151" t="str">
        <f>INDEX('Open Source Tools'!D:D, MATCH(B151, 'Open Source Tools'!E:E, 0))</f>
        <v>Collaborative Decision-Making Platforms</v>
      </c>
      <c r="D151">
        <v>2</v>
      </c>
      <c r="E151">
        <v>1</v>
      </c>
      <c r="F151">
        <v>1</v>
      </c>
      <c r="G151">
        <v>2</v>
      </c>
      <c r="H151">
        <v>2</v>
      </c>
      <c r="I151">
        <v>3</v>
      </c>
      <c r="J151" s="187">
        <v>2</v>
      </c>
      <c r="K151">
        <v>5</v>
      </c>
      <c r="L151">
        <v>5</v>
      </c>
      <c r="M151">
        <v>4</v>
      </c>
      <c r="N151">
        <v>3</v>
      </c>
      <c r="O151" s="187">
        <v>4.333333333333333</v>
      </c>
      <c r="P151">
        <v>5</v>
      </c>
      <c r="Q151">
        <v>1</v>
      </c>
      <c r="R151">
        <v>1</v>
      </c>
      <c r="S151">
        <v>5</v>
      </c>
      <c r="T151">
        <v>2</v>
      </c>
      <c r="U151">
        <v>2</v>
      </c>
      <c r="V151" s="188">
        <v>2.6666666666666665</v>
      </c>
      <c r="W151">
        <v>5</v>
      </c>
      <c r="X151">
        <v>3</v>
      </c>
      <c r="Y151">
        <v>1</v>
      </c>
      <c r="Z151">
        <v>1</v>
      </c>
      <c r="AA151" s="188">
        <v>3.1666666666666665</v>
      </c>
      <c r="AB151" s="337">
        <v>3.15</v>
      </c>
      <c r="AC151" s="256">
        <v>6</v>
      </c>
    </row>
    <row r="152" spans="1:29" ht="16" x14ac:dyDescent="0.35">
      <c r="A152" s="102">
        <f>_xlfn.XLOOKUP(B152, 'Open Source Tools'!$E$3:$E$206, 'Open Source Tools'!$A$3:$A$206, "Not found")</f>
        <v>112</v>
      </c>
      <c r="B152" s="9" t="s">
        <v>1934</v>
      </c>
      <c r="C152" t="str">
        <f>INDEX('Open Source Tools'!D:D, MATCH(B152, 'Open Source Tools'!E:E, 0))</f>
        <v>Home Energy Management Systems (HEMS)</v>
      </c>
      <c r="D152">
        <v>1</v>
      </c>
      <c r="E152">
        <v>1</v>
      </c>
      <c r="F152">
        <v>1</v>
      </c>
      <c r="G152">
        <v>1</v>
      </c>
      <c r="H152">
        <v>1</v>
      </c>
      <c r="I152">
        <v>1</v>
      </c>
      <c r="J152" s="187">
        <v>1</v>
      </c>
      <c r="K152">
        <v>5</v>
      </c>
      <c r="L152">
        <v>2</v>
      </c>
      <c r="M152">
        <v>4</v>
      </c>
      <c r="N152">
        <v>5</v>
      </c>
      <c r="O152" s="187">
        <v>4.1111111111111107</v>
      </c>
      <c r="P152">
        <v>4</v>
      </c>
      <c r="Q152">
        <v>1</v>
      </c>
      <c r="R152" s="241">
        <v>1</v>
      </c>
      <c r="S152">
        <v>5</v>
      </c>
      <c r="T152">
        <v>5</v>
      </c>
      <c r="U152">
        <v>1</v>
      </c>
      <c r="V152" s="188">
        <v>2.8333333333333335</v>
      </c>
      <c r="W152">
        <v>3</v>
      </c>
      <c r="X152">
        <v>5</v>
      </c>
      <c r="Y152">
        <v>3</v>
      </c>
      <c r="Z152">
        <v>2</v>
      </c>
      <c r="AA152" s="188">
        <v>3.4166666666666665</v>
      </c>
      <c r="AB152" s="337">
        <v>3.1055555555555552</v>
      </c>
      <c r="AC152" s="256">
        <v>6</v>
      </c>
    </row>
    <row r="153" spans="1:29" ht="16" customHeight="1" x14ac:dyDescent="0.35">
      <c r="A153" s="102">
        <f>_xlfn.XLOOKUP(B153, 'Open Source Tools'!$E$3:$E$206, 'Open Source Tools'!$A$3:$A$206, "Not found")</f>
        <v>48</v>
      </c>
      <c r="B153" s="9" t="s">
        <v>1116</v>
      </c>
      <c r="C153" t="str">
        <f>INDEX('Open Source Tools'!D:D, MATCH(B153, 'Open Source Tools'!E:E, 0))</f>
        <v>AI-Powered Energy Forecasting</v>
      </c>
      <c r="D153">
        <v>1</v>
      </c>
      <c r="E153">
        <v>1</v>
      </c>
      <c r="F153">
        <v>1</v>
      </c>
      <c r="G153">
        <v>1</v>
      </c>
      <c r="H153">
        <v>1</v>
      </c>
      <c r="I153">
        <v>1</v>
      </c>
      <c r="J153" s="187">
        <v>1</v>
      </c>
      <c r="K153">
        <v>5</v>
      </c>
      <c r="L153">
        <v>5</v>
      </c>
      <c r="M153">
        <v>5</v>
      </c>
      <c r="N153">
        <v>5</v>
      </c>
      <c r="O153" s="187">
        <v>5</v>
      </c>
      <c r="P153">
        <v>5</v>
      </c>
      <c r="Q153">
        <v>1</v>
      </c>
      <c r="R153">
        <v>1</v>
      </c>
      <c r="S153">
        <v>1</v>
      </c>
      <c r="T153">
        <v>1</v>
      </c>
      <c r="U153">
        <v>1</v>
      </c>
      <c r="V153" s="188">
        <v>1.6666666666666667</v>
      </c>
      <c r="W153">
        <v>3</v>
      </c>
      <c r="X153">
        <v>5</v>
      </c>
      <c r="Y153">
        <v>3</v>
      </c>
      <c r="Z153">
        <v>1</v>
      </c>
      <c r="AA153" s="188">
        <v>3.3333333333333335</v>
      </c>
      <c r="AB153" s="337">
        <v>3.0666666666666664</v>
      </c>
      <c r="AC153" s="256">
        <v>6</v>
      </c>
    </row>
    <row r="154" spans="1:29" ht="16" x14ac:dyDescent="0.35">
      <c r="A154" s="102">
        <f>_xlfn.XLOOKUP(B154, 'Open Source Tools'!$E$3:$E$206, 'Open Source Tools'!$A$3:$A$206, "Not found")</f>
        <v>162</v>
      </c>
      <c r="B154" s="9" t="s">
        <v>2614</v>
      </c>
      <c r="C154" t="str">
        <f>INDEX('Open Source Tools'!D:D, MATCH(B154, 'Open Source Tools'!E:E, 0))</f>
        <v>Energy System Simulation Tools (e.g., HOMER, PLEXOS)</v>
      </c>
      <c r="D154">
        <v>3</v>
      </c>
      <c r="E154">
        <v>2</v>
      </c>
      <c r="F154">
        <v>2</v>
      </c>
      <c r="G154">
        <v>2</v>
      </c>
      <c r="H154">
        <v>2</v>
      </c>
      <c r="I154">
        <v>1</v>
      </c>
      <c r="J154" s="187">
        <v>1.9166666666666667</v>
      </c>
      <c r="K154">
        <v>5</v>
      </c>
      <c r="L154">
        <v>5</v>
      </c>
      <c r="M154">
        <v>1</v>
      </c>
      <c r="N154">
        <v>5</v>
      </c>
      <c r="O154" s="187">
        <v>4.1111111111111107</v>
      </c>
      <c r="P154">
        <v>5</v>
      </c>
      <c r="Q154">
        <v>2</v>
      </c>
      <c r="R154">
        <v>1</v>
      </c>
      <c r="S154">
        <v>1</v>
      </c>
      <c r="T154">
        <v>1</v>
      </c>
      <c r="U154">
        <v>2</v>
      </c>
      <c r="V154" s="188">
        <v>1.9166666666666667</v>
      </c>
      <c r="W154">
        <v>3</v>
      </c>
      <c r="X154">
        <v>5</v>
      </c>
      <c r="Y154">
        <v>3</v>
      </c>
      <c r="Z154">
        <v>1</v>
      </c>
      <c r="AA154" s="188">
        <v>3.3333333333333335</v>
      </c>
      <c r="AB154" s="337">
        <v>3.0638888888888891</v>
      </c>
      <c r="AC154" s="256">
        <v>6</v>
      </c>
    </row>
    <row r="155" spans="1:29" ht="16" x14ac:dyDescent="0.35">
      <c r="A155" s="102">
        <f>_xlfn.XLOOKUP(B155, 'Open Source Tools'!$E$3:$E$206, 'Open Source Tools'!$A$3:$A$206, "Not found")</f>
        <v>132</v>
      </c>
      <c r="B155" s="9" t="s">
        <v>2218</v>
      </c>
      <c r="C155" t="str">
        <f>INDEX('Open Source Tools'!D:D, MATCH(B155, 'Open Source Tools'!E:E, 0))</f>
        <v>Energy Analytics Platforms</v>
      </c>
      <c r="D155">
        <v>2</v>
      </c>
      <c r="E155">
        <v>1</v>
      </c>
      <c r="F155">
        <v>2</v>
      </c>
      <c r="G155">
        <v>3</v>
      </c>
      <c r="H155">
        <v>2</v>
      </c>
      <c r="I155">
        <v>2</v>
      </c>
      <c r="J155" s="187">
        <v>2</v>
      </c>
      <c r="K155">
        <v>5</v>
      </c>
      <c r="L155">
        <v>5</v>
      </c>
      <c r="M155">
        <v>4</v>
      </c>
      <c r="N155">
        <v>3</v>
      </c>
      <c r="O155" s="187">
        <v>4.333333333333333</v>
      </c>
      <c r="P155">
        <v>5</v>
      </c>
      <c r="Q155">
        <v>2</v>
      </c>
      <c r="R155">
        <v>5</v>
      </c>
      <c r="S155">
        <v>5</v>
      </c>
      <c r="T155">
        <v>5</v>
      </c>
      <c r="U155">
        <v>2</v>
      </c>
      <c r="V155" s="188">
        <v>4.25</v>
      </c>
      <c r="W155">
        <v>1</v>
      </c>
      <c r="X155">
        <v>5</v>
      </c>
      <c r="Y155">
        <v>3</v>
      </c>
      <c r="Z155">
        <v>1</v>
      </c>
      <c r="AA155" s="188">
        <v>2.5</v>
      </c>
      <c r="AB155" s="337">
        <v>3.0541666666666667</v>
      </c>
      <c r="AC155" s="256">
        <v>6</v>
      </c>
    </row>
    <row r="156" spans="1:29" ht="16" customHeight="1" x14ac:dyDescent="0.35">
      <c r="A156" s="102">
        <f>_xlfn.XLOOKUP(B156, 'Open Source Tools'!$E$3:$E$206, 'Open Source Tools'!$A$3:$A$206, "Not found")</f>
        <v>105</v>
      </c>
      <c r="B156" s="9" t="s">
        <v>1815</v>
      </c>
      <c r="C156" t="str">
        <f>INDEX('Open Source Tools'!D:D, MATCH(B156, 'Open Source Tools'!E:E, 0))</f>
        <v>Community Energy Management Systems (CEMS)</v>
      </c>
      <c r="D156">
        <v>2</v>
      </c>
      <c r="E156">
        <v>2</v>
      </c>
      <c r="F156">
        <v>3</v>
      </c>
      <c r="G156">
        <v>2</v>
      </c>
      <c r="H156">
        <v>2</v>
      </c>
      <c r="I156">
        <v>1</v>
      </c>
      <c r="J156" s="187">
        <v>1.8333333333333333</v>
      </c>
      <c r="K156">
        <v>3</v>
      </c>
      <c r="L156">
        <v>2</v>
      </c>
      <c r="M156">
        <v>4</v>
      </c>
      <c r="N156">
        <v>1</v>
      </c>
      <c r="O156" s="187">
        <v>2.5555555555555554</v>
      </c>
      <c r="P156">
        <v>1</v>
      </c>
      <c r="Q156">
        <v>1</v>
      </c>
      <c r="R156">
        <v>1</v>
      </c>
      <c r="S156">
        <v>1</v>
      </c>
      <c r="T156">
        <v>1</v>
      </c>
      <c r="U156">
        <v>2</v>
      </c>
      <c r="V156" s="188">
        <v>1.1666666666666667</v>
      </c>
      <c r="W156">
        <v>5</v>
      </c>
      <c r="X156">
        <v>5</v>
      </c>
      <c r="Y156">
        <v>3</v>
      </c>
      <c r="Z156">
        <v>1</v>
      </c>
      <c r="AA156" s="188">
        <v>4.166666666666667</v>
      </c>
      <c r="AB156" s="337">
        <v>3.0444444444444443</v>
      </c>
      <c r="AC156" s="256">
        <v>6</v>
      </c>
    </row>
    <row r="157" spans="1:29" ht="16" x14ac:dyDescent="0.35">
      <c r="A157" s="102">
        <f>_xlfn.XLOOKUP(B157, 'Open Source Tools'!$E$3:$E$206, 'Open Source Tools'!$A$3:$A$206, "Not found")</f>
        <v>170</v>
      </c>
      <c r="B157" s="9" t="s">
        <v>2714</v>
      </c>
      <c r="C157" t="str">
        <f>INDEX('Open Source Tools'!D:D, MATCH(B157, 'Open Source Tools'!E:E, 0))</f>
        <v>Energy System Simulation Tools (e.g., HOMER, PLEXOS)</v>
      </c>
      <c r="D157">
        <v>2</v>
      </c>
      <c r="E157">
        <v>1</v>
      </c>
      <c r="F157">
        <v>1</v>
      </c>
      <c r="G157">
        <v>2</v>
      </c>
      <c r="H157">
        <v>2</v>
      </c>
      <c r="I157">
        <v>3</v>
      </c>
      <c r="J157" s="187">
        <v>2</v>
      </c>
      <c r="K157">
        <v>5</v>
      </c>
      <c r="L157">
        <v>5</v>
      </c>
      <c r="M157">
        <v>4</v>
      </c>
      <c r="N157">
        <v>5</v>
      </c>
      <c r="O157" s="187">
        <v>4.7777777777777777</v>
      </c>
      <c r="P157">
        <v>5</v>
      </c>
      <c r="Q157">
        <v>2</v>
      </c>
      <c r="R157">
        <v>2</v>
      </c>
      <c r="S157">
        <v>1</v>
      </c>
      <c r="T157">
        <v>1</v>
      </c>
      <c r="U157">
        <v>3</v>
      </c>
      <c r="V157" s="188">
        <v>2.3333333333333335</v>
      </c>
      <c r="W157">
        <v>3</v>
      </c>
      <c r="X157">
        <v>3</v>
      </c>
      <c r="Y157">
        <v>3</v>
      </c>
      <c r="Z157">
        <v>1</v>
      </c>
      <c r="AA157" s="188">
        <v>2.8333333333333335</v>
      </c>
      <c r="AB157" s="337">
        <v>3.0222222222222221</v>
      </c>
      <c r="AC157" s="256">
        <v>6</v>
      </c>
    </row>
    <row r="158" spans="1:29" ht="16" x14ac:dyDescent="0.35">
      <c r="A158" s="102">
        <f>_xlfn.XLOOKUP(B158, 'Open Source Tools'!$E$3:$E$206, 'Open Source Tools'!$A$3:$A$206, "Not found")</f>
        <v>117</v>
      </c>
      <c r="B158" s="9" t="s">
        <v>2004</v>
      </c>
      <c r="C158" t="str">
        <f>INDEX('Open Source Tools'!D:D, MATCH(B158, 'Open Source Tools'!E:E, 0))</f>
        <v>Demand Response Systems</v>
      </c>
      <c r="D158">
        <v>3</v>
      </c>
      <c r="E158">
        <v>3</v>
      </c>
      <c r="F158">
        <v>2</v>
      </c>
      <c r="G158">
        <v>2</v>
      </c>
      <c r="H158">
        <v>2</v>
      </c>
      <c r="I158">
        <v>3</v>
      </c>
      <c r="J158" s="187">
        <v>2.5833333333333335</v>
      </c>
      <c r="K158">
        <v>5</v>
      </c>
      <c r="L158">
        <v>5</v>
      </c>
      <c r="M158">
        <v>1</v>
      </c>
      <c r="N158">
        <v>5</v>
      </c>
      <c r="O158" s="187">
        <v>4.1111111111111107</v>
      </c>
      <c r="P158">
        <v>4</v>
      </c>
      <c r="Q158">
        <v>2</v>
      </c>
      <c r="R158">
        <v>5</v>
      </c>
      <c r="S158">
        <v>5</v>
      </c>
      <c r="T158">
        <v>5</v>
      </c>
      <c r="U158">
        <v>3</v>
      </c>
      <c r="V158" s="188">
        <v>4.25</v>
      </c>
      <c r="W158">
        <v>3</v>
      </c>
      <c r="X158">
        <v>1</v>
      </c>
      <c r="Y158">
        <v>3</v>
      </c>
      <c r="Z158">
        <v>1</v>
      </c>
      <c r="AA158" s="188">
        <v>2.3333333333333335</v>
      </c>
      <c r="AB158" s="337">
        <v>3.0138888888888888</v>
      </c>
      <c r="AC158" s="256">
        <v>6</v>
      </c>
    </row>
    <row r="159" spans="1:29" ht="16" x14ac:dyDescent="0.35">
      <c r="A159" s="102">
        <f>_xlfn.XLOOKUP(B159, 'Open Source Tools'!$E$3:$E$206, 'Open Source Tools'!$A$3:$A$206, "Not found")</f>
        <v>190</v>
      </c>
      <c r="B159" s="9" t="s">
        <v>2966</v>
      </c>
      <c r="C159" t="str">
        <f>INDEX('Open Source Tools'!D:D, MATCH(B159, 'Open Source Tools'!E:E, 0))</f>
        <v>Community Energy Management Systems (CEMS)</v>
      </c>
      <c r="D159">
        <v>1</v>
      </c>
      <c r="E159">
        <v>1</v>
      </c>
      <c r="F159">
        <v>1</v>
      </c>
      <c r="G159">
        <v>2</v>
      </c>
      <c r="H159">
        <v>2</v>
      </c>
      <c r="I159">
        <v>3</v>
      </c>
      <c r="J159" s="187">
        <v>1.8333333333333333</v>
      </c>
      <c r="K159">
        <v>5</v>
      </c>
      <c r="L159">
        <v>5</v>
      </c>
      <c r="M159">
        <v>4</v>
      </c>
      <c r="N159">
        <v>5</v>
      </c>
      <c r="O159" s="187">
        <v>4.7777777777777777</v>
      </c>
      <c r="P159">
        <v>5</v>
      </c>
      <c r="Q159">
        <v>1</v>
      </c>
      <c r="R159">
        <v>1</v>
      </c>
      <c r="S159">
        <v>1</v>
      </c>
      <c r="T159">
        <v>1</v>
      </c>
      <c r="U159">
        <v>2</v>
      </c>
      <c r="V159" s="188">
        <v>1.8333333333333333</v>
      </c>
      <c r="W159">
        <v>3</v>
      </c>
      <c r="X159">
        <v>3</v>
      </c>
      <c r="Y159">
        <v>3</v>
      </c>
      <c r="Z159">
        <v>3</v>
      </c>
      <c r="AA159" s="188">
        <v>3</v>
      </c>
      <c r="AB159" s="337">
        <v>3.0055555555555555</v>
      </c>
      <c r="AC159" s="256">
        <v>6</v>
      </c>
    </row>
    <row r="160" spans="1:29" ht="16" x14ac:dyDescent="0.35">
      <c r="A160" s="102">
        <f>_xlfn.XLOOKUP(B160, 'Open Source Tools'!$E$3:$E$206, 'Open Source Tools'!$A$3:$A$206, "Not found")</f>
        <v>155</v>
      </c>
      <c r="B160" s="9" t="s">
        <v>2525</v>
      </c>
      <c r="C160" t="str">
        <f>INDEX('Open Source Tools'!D:D, MATCH(B160, 'Open Source Tools'!E:E, 0))</f>
        <v>Individual Unit modelling</v>
      </c>
      <c r="D160">
        <v>2</v>
      </c>
      <c r="E160">
        <v>2</v>
      </c>
      <c r="F160">
        <v>2</v>
      </c>
      <c r="G160">
        <v>2</v>
      </c>
      <c r="H160">
        <v>2</v>
      </c>
      <c r="I160">
        <v>4</v>
      </c>
      <c r="J160" s="187">
        <v>2.5</v>
      </c>
      <c r="K160">
        <v>5</v>
      </c>
      <c r="L160">
        <v>5</v>
      </c>
      <c r="M160">
        <v>4</v>
      </c>
      <c r="N160">
        <v>5</v>
      </c>
      <c r="O160" s="187">
        <v>4.7777777777777777</v>
      </c>
      <c r="P160">
        <v>3</v>
      </c>
      <c r="Q160">
        <v>2</v>
      </c>
      <c r="R160">
        <v>1</v>
      </c>
      <c r="S160">
        <v>1</v>
      </c>
      <c r="T160">
        <v>1</v>
      </c>
      <c r="U160">
        <v>2</v>
      </c>
      <c r="V160" s="188">
        <v>1.5833333333333333</v>
      </c>
      <c r="W160">
        <v>3</v>
      </c>
      <c r="X160">
        <v>3</v>
      </c>
      <c r="Y160">
        <v>3</v>
      </c>
      <c r="Z160">
        <v>1</v>
      </c>
      <c r="AA160" s="188">
        <v>2.8333333333333335</v>
      </c>
      <c r="AB160" s="337">
        <v>2.9847222222222225</v>
      </c>
      <c r="AC160" s="256">
        <v>5</v>
      </c>
    </row>
    <row r="161" spans="1:29" ht="16" hidden="1" x14ac:dyDescent="0.35">
      <c r="A161" s="102">
        <f>_xlfn.XLOOKUP(B161, 'Open Source Tools'!$E$3:$E$206, 'Open Source Tools'!$A$3:$A$206, "Not found")</f>
        <v>30</v>
      </c>
      <c r="B161" s="9" t="s">
        <v>877</v>
      </c>
      <c r="C161" t="str">
        <f>INDEX('Open Source Tools'!D:D, MATCH(B161, 'Open Source Tools'!E:E, 0))</f>
        <v>Safety Equipment</v>
      </c>
      <c r="D161">
        <v>2</v>
      </c>
      <c r="E161">
        <v>2</v>
      </c>
      <c r="F161">
        <v>3</v>
      </c>
      <c r="G161">
        <v>2</v>
      </c>
      <c r="H161">
        <v>2</v>
      </c>
      <c r="I161">
        <v>4</v>
      </c>
      <c r="J161" s="187">
        <v>2.5833333333333335</v>
      </c>
      <c r="K161">
        <v>5</v>
      </c>
      <c r="L161">
        <v>3</v>
      </c>
      <c r="M161">
        <v>1</v>
      </c>
      <c r="N161">
        <v>3</v>
      </c>
      <c r="O161" s="187">
        <v>3.2222222222222223</v>
      </c>
      <c r="P161">
        <v>4</v>
      </c>
      <c r="Q161">
        <v>2</v>
      </c>
      <c r="R161">
        <v>4</v>
      </c>
      <c r="S161">
        <v>1</v>
      </c>
      <c r="T161">
        <v>1</v>
      </c>
      <c r="U161">
        <v>2</v>
      </c>
      <c r="V161" s="188">
        <v>2.5</v>
      </c>
      <c r="W161">
        <v>3</v>
      </c>
      <c r="X161">
        <v>3</v>
      </c>
      <c r="Y161">
        <v>3</v>
      </c>
      <c r="Z161">
        <v>1</v>
      </c>
      <c r="AA161" s="188">
        <v>2.8333333333333335</v>
      </c>
      <c r="AB161" s="337">
        <v>2.8236111111111111</v>
      </c>
      <c r="AC161" s="256">
        <v>5</v>
      </c>
    </row>
    <row r="162" spans="1:29" ht="16" hidden="1" x14ac:dyDescent="0.35">
      <c r="A162" s="102">
        <f>_xlfn.XLOOKUP(B162, 'Open Source Tools'!$E$3:$E$206, 'Open Source Tools'!$A$3:$A$206, "Not found")</f>
        <v>39</v>
      </c>
      <c r="B162" s="9" t="s">
        <v>997</v>
      </c>
      <c r="C162" t="str">
        <f>INDEX('Open Source Tools'!D:D, MATCH(B162, 'Open Source Tools'!E:E, 0))</f>
        <v>Fault Detection and Diagnostics (FDD) Tools</v>
      </c>
      <c r="D162">
        <v>2</v>
      </c>
      <c r="E162">
        <v>2</v>
      </c>
      <c r="F162">
        <v>2</v>
      </c>
      <c r="G162">
        <v>1</v>
      </c>
      <c r="H162">
        <v>2</v>
      </c>
      <c r="I162">
        <v>1</v>
      </c>
      <c r="J162" s="187">
        <v>1.5833333333333333</v>
      </c>
      <c r="K162">
        <v>5</v>
      </c>
      <c r="L162">
        <v>4</v>
      </c>
      <c r="M162">
        <v>5</v>
      </c>
      <c r="N162">
        <v>3</v>
      </c>
      <c r="O162" s="187">
        <v>4.333333333333333</v>
      </c>
      <c r="P162">
        <v>2</v>
      </c>
      <c r="Q162">
        <v>1</v>
      </c>
      <c r="R162">
        <v>1</v>
      </c>
      <c r="S162">
        <v>1</v>
      </c>
      <c r="T162">
        <v>1</v>
      </c>
      <c r="U162">
        <v>1</v>
      </c>
      <c r="V162" s="188">
        <v>1.1666666666666667</v>
      </c>
      <c r="W162">
        <v>3</v>
      </c>
      <c r="X162">
        <v>5</v>
      </c>
      <c r="Y162">
        <v>2</v>
      </c>
      <c r="Z162">
        <v>1</v>
      </c>
      <c r="AA162" s="188">
        <v>3.0833333333333335</v>
      </c>
      <c r="AB162" s="337">
        <v>2.8208333333333337</v>
      </c>
      <c r="AC162" s="256">
        <v>5</v>
      </c>
    </row>
    <row r="163" spans="1:29" ht="16" x14ac:dyDescent="0.35">
      <c r="A163" s="102">
        <f>_xlfn.XLOOKUP(B163, 'Open Source Tools'!$E$3:$E$206, 'Open Source Tools'!$A$3:$A$206, "Not found")</f>
        <v>157</v>
      </c>
      <c r="B163" s="9" t="s">
        <v>2552</v>
      </c>
      <c r="C163" t="str">
        <f>INDEX('Open Source Tools'!D:D, MATCH(B163, 'Open Source Tools'!E:E, 0))</f>
        <v>Individual Unit modelling</v>
      </c>
      <c r="D163">
        <v>1</v>
      </c>
      <c r="E163">
        <v>1</v>
      </c>
      <c r="F163">
        <v>1</v>
      </c>
      <c r="G163">
        <v>1</v>
      </c>
      <c r="H163">
        <v>1</v>
      </c>
      <c r="I163">
        <v>1</v>
      </c>
      <c r="J163" s="187">
        <v>1</v>
      </c>
      <c r="K163">
        <v>5</v>
      </c>
      <c r="L163">
        <v>5</v>
      </c>
      <c r="M163">
        <v>1</v>
      </c>
      <c r="N163">
        <v>1</v>
      </c>
      <c r="O163" s="187">
        <v>3.2222222222222223</v>
      </c>
      <c r="P163">
        <v>5</v>
      </c>
      <c r="Q163">
        <v>1</v>
      </c>
      <c r="R163">
        <v>1</v>
      </c>
      <c r="S163">
        <v>1</v>
      </c>
      <c r="T163">
        <v>1</v>
      </c>
      <c r="U163">
        <v>1</v>
      </c>
      <c r="V163" s="188">
        <v>1.6666666666666667</v>
      </c>
      <c r="W163">
        <v>5</v>
      </c>
      <c r="X163">
        <v>3</v>
      </c>
      <c r="Y163">
        <v>3</v>
      </c>
      <c r="Z163">
        <v>3</v>
      </c>
      <c r="AA163" s="188">
        <v>3.8333333333333335</v>
      </c>
      <c r="AB163" s="337">
        <v>2.9611111111111112</v>
      </c>
      <c r="AC163" s="256">
        <v>5</v>
      </c>
    </row>
    <row r="164" spans="1:29" ht="16" hidden="1" x14ac:dyDescent="0.4">
      <c r="A164" s="102">
        <f>_xlfn.XLOOKUP(B164, 'Open Source Tools'!$E$3:$E$206, 'Open Source Tools'!$A$3:$A$206, "Not found")</f>
        <v>68</v>
      </c>
      <c r="B164" s="151" t="s">
        <v>1350</v>
      </c>
      <c r="C164" t="str">
        <f>INDEX('Open Source Tools'!D:D, MATCH(B164, 'Open Source Tools'!E:E, 0))</f>
        <v>GIS (Geographic Information Systems)</v>
      </c>
      <c r="D164">
        <v>2</v>
      </c>
      <c r="E164">
        <v>1</v>
      </c>
      <c r="F164">
        <v>1</v>
      </c>
      <c r="G164">
        <v>1</v>
      </c>
      <c r="H164">
        <v>2</v>
      </c>
      <c r="I164">
        <v>1</v>
      </c>
      <c r="J164" s="187">
        <v>1.3333333333333333</v>
      </c>
      <c r="K164">
        <v>5</v>
      </c>
      <c r="L164">
        <v>5</v>
      </c>
      <c r="M164">
        <v>1</v>
      </c>
      <c r="N164">
        <v>5</v>
      </c>
      <c r="O164" s="187">
        <v>4.1111111111111107</v>
      </c>
      <c r="P164">
        <v>4</v>
      </c>
      <c r="Q164">
        <v>1</v>
      </c>
      <c r="R164" s="241">
        <v>1</v>
      </c>
      <c r="S164">
        <v>1</v>
      </c>
      <c r="T164">
        <v>1</v>
      </c>
      <c r="U164">
        <v>2</v>
      </c>
      <c r="V164" s="188">
        <v>1.6666666666666667</v>
      </c>
      <c r="W164">
        <v>3</v>
      </c>
      <c r="X164">
        <v>3</v>
      </c>
      <c r="Y164">
        <v>3</v>
      </c>
      <c r="Z164">
        <v>3</v>
      </c>
      <c r="AA164" s="188">
        <v>3</v>
      </c>
      <c r="AB164" s="337">
        <v>2.7722222222222221</v>
      </c>
      <c r="AC164" s="256">
        <v>5</v>
      </c>
    </row>
    <row r="165" spans="1:29" ht="16" hidden="1" x14ac:dyDescent="0.4">
      <c r="A165" s="102">
        <f>_xlfn.XLOOKUP(B165, 'Open Source Tools'!$E$3:$E$206, 'Open Source Tools'!$A$3:$A$206, "Not found")</f>
        <v>94</v>
      </c>
      <c r="B165" s="151" t="s">
        <v>1656</v>
      </c>
      <c r="C165" t="str">
        <f>INDEX('Open Source Tools'!D:D, MATCH(B165, 'Open Source Tools'!E:E, 0))</f>
        <v>Prosumer Aggregation Tools</v>
      </c>
      <c r="D165">
        <v>1</v>
      </c>
      <c r="E165">
        <v>1</v>
      </c>
      <c r="F165">
        <v>1</v>
      </c>
      <c r="G165">
        <v>1</v>
      </c>
      <c r="H165">
        <v>1</v>
      </c>
      <c r="I165">
        <v>3</v>
      </c>
      <c r="J165" s="187">
        <v>1.5</v>
      </c>
      <c r="K165">
        <v>5</v>
      </c>
      <c r="L165">
        <v>4</v>
      </c>
      <c r="M165">
        <v>4</v>
      </c>
      <c r="N165">
        <v>3</v>
      </c>
      <c r="O165" s="187">
        <v>4.1111111111111107</v>
      </c>
      <c r="P165">
        <v>3</v>
      </c>
      <c r="Q165">
        <v>1</v>
      </c>
      <c r="R165">
        <v>5</v>
      </c>
      <c r="S165">
        <v>1</v>
      </c>
      <c r="T165">
        <v>1</v>
      </c>
      <c r="U165">
        <v>1</v>
      </c>
      <c r="V165" s="188">
        <v>2.3333333333333335</v>
      </c>
      <c r="W165">
        <v>3</v>
      </c>
      <c r="X165">
        <v>3</v>
      </c>
      <c r="Y165">
        <v>3</v>
      </c>
      <c r="Z165">
        <v>4</v>
      </c>
      <c r="AA165" s="188">
        <v>3.0833333333333335</v>
      </c>
      <c r="AB165" s="337">
        <v>2.9388888888888891</v>
      </c>
      <c r="AC165" s="256">
        <v>5</v>
      </c>
    </row>
    <row r="166" spans="1:29" ht="16" x14ac:dyDescent="0.35">
      <c r="A166" s="102">
        <f>_xlfn.XLOOKUP(B166, 'Open Source Tools'!$E$3:$E$206, 'Open Source Tools'!$A$3:$A$206, "Not found")</f>
        <v>123</v>
      </c>
      <c r="B166" s="9" t="s">
        <v>2091</v>
      </c>
      <c r="C166" t="str">
        <f>INDEX('Open Source Tools'!D:D, MATCH(B166, 'Open Source Tools'!E:E, 0))</f>
        <v>Real-Time Energy Monitoring Platforms</v>
      </c>
      <c r="D166">
        <v>2</v>
      </c>
      <c r="E166">
        <v>1</v>
      </c>
      <c r="F166">
        <v>2</v>
      </c>
      <c r="G166">
        <v>1</v>
      </c>
      <c r="H166">
        <v>1</v>
      </c>
      <c r="I166">
        <v>3</v>
      </c>
      <c r="J166" s="187">
        <v>1.75</v>
      </c>
      <c r="K166">
        <v>5</v>
      </c>
      <c r="L166">
        <v>5</v>
      </c>
      <c r="M166">
        <v>1</v>
      </c>
      <c r="N166">
        <v>3</v>
      </c>
      <c r="O166" s="187">
        <v>3.6666666666666665</v>
      </c>
      <c r="P166">
        <v>4</v>
      </c>
      <c r="Q166">
        <v>1</v>
      </c>
      <c r="R166">
        <v>5</v>
      </c>
      <c r="S166">
        <v>1</v>
      </c>
      <c r="T166">
        <v>1</v>
      </c>
      <c r="U166">
        <v>1</v>
      </c>
      <c r="V166" s="188">
        <v>2.5</v>
      </c>
      <c r="W166">
        <v>5</v>
      </c>
      <c r="X166">
        <v>1</v>
      </c>
      <c r="Y166">
        <v>3</v>
      </c>
      <c r="Z166">
        <v>1</v>
      </c>
      <c r="AA166" s="188">
        <v>3.1666666666666665</v>
      </c>
      <c r="AB166" s="337">
        <v>2.9541666666666666</v>
      </c>
      <c r="AC166" s="256">
        <v>5</v>
      </c>
    </row>
    <row r="167" spans="1:29" ht="16" x14ac:dyDescent="0.35">
      <c r="A167" s="102">
        <f>_xlfn.XLOOKUP(B167, 'Open Source Tools'!$E$3:$E$206, 'Open Source Tools'!$A$3:$A$206, "Not found")</f>
        <v>130</v>
      </c>
      <c r="B167" s="192" t="s">
        <v>2190</v>
      </c>
      <c r="C167" t="str">
        <f>INDEX('Open Source Tools'!D:D, MATCH(B167, 'Open Source Tools'!E:E, 0))</f>
        <v>Energy Analytics Platforms</v>
      </c>
      <c r="D167">
        <v>1</v>
      </c>
      <c r="E167">
        <v>1</v>
      </c>
      <c r="F167">
        <v>1</v>
      </c>
      <c r="G167">
        <v>1</v>
      </c>
      <c r="H167">
        <v>2</v>
      </c>
      <c r="I167">
        <v>3</v>
      </c>
      <c r="J167" s="187">
        <v>1.6666666666666667</v>
      </c>
      <c r="K167">
        <v>5</v>
      </c>
      <c r="L167">
        <v>4</v>
      </c>
      <c r="M167">
        <v>1</v>
      </c>
      <c r="N167">
        <v>5</v>
      </c>
      <c r="O167" s="187">
        <v>3.8888888888888888</v>
      </c>
      <c r="P167">
        <v>4</v>
      </c>
      <c r="Q167">
        <v>2</v>
      </c>
      <c r="R167">
        <v>5</v>
      </c>
      <c r="S167">
        <v>5</v>
      </c>
      <c r="T167">
        <v>5</v>
      </c>
      <c r="U167">
        <v>4</v>
      </c>
      <c r="V167" s="188">
        <v>4.416666666666667</v>
      </c>
      <c r="W167">
        <v>1</v>
      </c>
      <c r="X167">
        <v>5</v>
      </c>
      <c r="Y167">
        <v>3</v>
      </c>
      <c r="Z167">
        <v>1</v>
      </c>
      <c r="AA167" s="188">
        <v>2.5</v>
      </c>
      <c r="AB167" s="337">
        <v>2.9402777777777778</v>
      </c>
      <c r="AC167" s="256">
        <v>5</v>
      </c>
    </row>
    <row r="168" spans="1:29" ht="16" x14ac:dyDescent="0.35">
      <c r="A168" s="102">
        <f>_xlfn.XLOOKUP(B168, 'Open Source Tools'!$E$3:$E$206, 'Open Source Tools'!$A$3:$A$206, "Not found")</f>
        <v>186</v>
      </c>
      <c r="B168" s="9" t="s">
        <v>2914</v>
      </c>
      <c r="C168" t="str">
        <f>INDEX('Open Source Tools'!D:D, MATCH(B168, 'Open Source Tools'!E:E, 0))</f>
        <v>Automated Billing Platforms (Dynamic pricing Billing systems)</v>
      </c>
      <c r="D168">
        <v>3</v>
      </c>
      <c r="E168">
        <v>2</v>
      </c>
      <c r="F168">
        <v>2</v>
      </c>
      <c r="G168">
        <v>1</v>
      </c>
      <c r="H168">
        <v>2</v>
      </c>
      <c r="I168">
        <v>1</v>
      </c>
      <c r="J168" s="187">
        <v>1.75</v>
      </c>
      <c r="K168">
        <v>5</v>
      </c>
      <c r="L168">
        <v>4</v>
      </c>
      <c r="M168">
        <v>4</v>
      </c>
      <c r="N168">
        <v>5</v>
      </c>
      <c r="O168" s="187">
        <v>4.5555555555555554</v>
      </c>
      <c r="P168">
        <v>5</v>
      </c>
      <c r="Q168">
        <v>1</v>
      </c>
      <c r="R168" s="241">
        <v>1</v>
      </c>
      <c r="S168">
        <v>1</v>
      </c>
      <c r="T168">
        <v>1</v>
      </c>
      <c r="U168">
        <v>4</v>
      </c>
      <c r="V168" s="188">
        <v>2.1666666666666665</v>
      </c>
      <c r="W168">
        <v>3</v>
      </c>
      <c r="X168">
        <v>3</v>
      </c>
      <c r="Y168">
        <v>3</v>
      </c>
      <c r="Z168">
        <v>1</v>
      </c>
      <c r="AA168" s="188">
        <v>2.8333333333333335</v>
      </c>
      <c r="AB168" s="337">
        <v>2.9152777777777779</v>
      </c>
      <c r="AC168" s="256">
        <v>5</v>
      </c>
    </row>
    <row r="169" spans="1:29" ht="16" x14ac:dyDescent="0.35">
      <c r="A169" s="102">
        <f>_xlfn.XLOOKUP(B169, 'Open Source Tools'!$E$3:$E$206, 'Open Source Tools'!$A$3:$A$206, "Not found")</f>
        <v>138</v>
      </c>
      <c r="B169" s="9" t="s">
        <v>2297</v>
      </c>
      <c r="C169" t="str">
        <f>INDEX('Open Source Tools'!D:D, MATCH(B169, 'Open Source Tools'!E:E, 0))</f>
        <v>DSO level modelling</v>
      </c>
      <c r="D169">
        <v>2</v>
      </c>
      <c r="E169">
        <v>1</v>
      </c>
      <c r="F169">
        <v>1</v>
      </c>
      <c r="G169">
        <v>2</v>
      </c>
      <c r="H169">
        <v>1</v>
      </c>
      <c r="I169">
        <v>4</v>
      </c>
      <c r="J169" s="187">
        <v>2.0833333333333335</v>
      </c>
      <c r="K169">
        <v>5</v>
      </c>
      <c r="L169">
        <v>5</v>
      </c>
      <c r="M169">
        <v>4</v>
      </c>
      <c r="N169">
        <v>5</v>
      </c>
      <c r="O169" s="187">
        <v>4.7777777777777777</v>
      </c>
      <c r="P169">
        <v>4</v>
      </c>
      <c r="Q169">
        <v>1</v>
      </c>
      <c r="R169">
        <v>5</v>
      </c>
      <c r="S169">
        <v>5</v>
      </c>
      <c r="T169">
        <v>5</v>
      </c>
      <c r="U169">
        <v>3</v>
      </c>
      <c r="V169" s="188">
        <v>4.166666666666667</v>
      </c>
      <c r="W169">
        <v>1</v>
      </c>
      <c r="X169">
        <v>3</v>
      </c>
      <c r="Y169">
        <v>3</v>
      </c>
      <c r="Z169">
        <v>1</v>
      </c>
      <c r="AA169" s="188">
        <v>2</v>
      </c>
      <c r="AB169" s="337">
        <v>2.8930555555555557</v>
      </c>
      <c r="AC169" s="256">
        <v>5</v>
      </c>
    </row>
    <row r="170" spans="1:29" ht="16" x14ac:dyDescent="0.35">
      <c r="A170" s="102">
        <f>_xlfn.XLOOKUP(B170, 'Open Source Tools'!$E$3:$E$206, 'Open Source Tools'!$A$3:$A$206, "Not found")</f>
        <v>143</v>
      </c>
      <c r="B170" s="9" t="s">
        <v>2363</v>
      </c>
      <c r="C170" t="str">
        <f>INDEX('Open Source Tools'!D:D, MATCH(B170, 'Open Source Tools'!E:E, 0))</f>
        <v>DSO level modelling</v>
      </c>
      <c r="D170">
        <v>1</v>
      </c>
      <c r="E170">
        <v>1</v>
      </c>
      <c r="F170" s="241">
        <v>1</v>
      </c>
      <c r="G170">
        <v>2</v>
      </c>
      <c r="H170">
        <v>2</v>
      </c>
      <c r="I170">
        <v>2</v>
      </c>
      <c r="J170" s="187">
        <v>1.5833333333333333</v>
      </c>
      <c r="K170">
        <v>5</v>
      </c>
      <c r="L170">
        <v>4</v>
      </c>
      <c r="M170">
        <v>4</v>
      </c>
      <c r="N170">
        <v>5</v>
      </c>
      <c r="O170" s="187">
        <v>4.5555555555555554</v>
      </c>
      <c r="P170">
        <v>5</v>
      </c>
      <c r="Q170">
        <v>1</v>
      </c>
      <c r="R170">
        <v>1</v>
      </c>
      <c r="S170">
        <v>5</v>
      </c>
      <c r="T170">
        <v>2</v>
      </c>
      <c r="U170">
        <v>2</v>
      </c>
      <c r="V170" s="188">
        <v>2.6666666666666665</v>
      </c>
      <c r="W170">
        <v>1</v>
      </c>
      <c r="X170">
        <v>5</v>
      </c>
      <c r="Y170">
        <v>3</v>
      </c>
      <c r="Z170">
        <v>3</v>
      </c>
      <c r="AA170" s="188">
        <v>2.6666666666666665</v>
      </c>
      <c r="AB170" s="337">
        <v>2.8819444444444442</v>
      </c>
      <c r="AC170" s="256">
        <v>5</v>
      </c>
    </row>
    <row r="171" spans="1:29" ht="16" x14ac:dyDescent="0.35">
      <c r="A171" s="102">
        <f>_xlfn.XLOOKUP(B171, 'Open Source Tools'!$E$3:$E$206, 'Open Source Tools'!$A$3:$A$206, "Not found")</f>
        <v>111</v>
      </c>
      <c r="B171" s="9" t="s">
        <v>1921</v>
      </c>
      <c r="C171" t="str">
        <f>INDEX('Open Source Tools'!D:D, MATCH(B171, 'Open Source Tools'!E:E, 0))</f>
        <v>Home Energy Management Systems (HEMS)</v>
      </c>
      <c r="D171">
        <v>1</v>
      </c>
      <c r="E171">
        <v>1</v>
      </c>
      <c r="F171">
        <v>1</v>
      </c>
      <c r="G171">
        <v>2</v>
      </c>
      <c r="H171">
        <v>1</v>
      </c>
      <c r="I171">
        <v>4</v>
      </c>
      <c r="J171" s="187">
        <v>1.9166666666666667</v>
      </c>
      <c r="K171">
        <v>5</v>
      </c>
      <c r="L171">
        <v>3</v>
      </c>
      <c r="M171">
        <v>4</v>
      </c>
      <c r="N171">
        <v>5</v>
      </c>
      <c r="O171" s="187">
        <v>4.333333333333333</v>
      </c>
      <c r="P171">
        <v>3</v>
      </c>
      <c r="Q171">
        <v>1</v>
      </c>
      <c r="R171">
        <v>5</v>
      </c>
      <c r="S171">
        <v>5</v>
      </c>
      <c r="T171">
        <v>5</v>
      </c>
      <c r="U171">
        <v>2</v>
      </c>
      <c r="V171" s="188">
        <v>3.8333333333333335</v>
      </c>
      <c r="W171">
        <v>1</v>
      </c>
      <c r="X171">
        <v>3</v>
      </c>
      <c r="Y171">
        <v>3</v>
      </c>
      <c r="Z171">
        <v>4</v>
      </c>
      <c r="AA171" s="188">
        <v>2.25</v>
      </c>
      <c r="AB171" s="337">
        <v>2.854166666666667</v>
      </c>
      <c r="AC171" s="256">
        <v>5</v>
      </c>
    </row>
    <row r="172" spans="1:29" ht="16" x14ac:dyDescent="0.35">
      <c r="A172" s="102">
        <f>_xlfn.XLOOKUP(B172, 'Open Source Tools'!$E$3:$E$206, 'Open Source Tools'!$A$3:$A$206, "Not found")</f>
        <v>56</v>
      </c>
      <c r="B172" s="9" t="s">
        <v>1210</v>
      </c>
      <c r="C172" t="str">
        <f>INDEX('Open Source Tools'!D:D, MATCH(B172, 'Open Source Tools'!E:E, 0))</f>
        <v>Energy Dashboards</v>
      </c>
      <c r="D172">
        <v>3</v>
      </c>
      <c r="E172">
        <v>3</v>
      </c>
      <c r="F172">
        <v>2</v>
      </c>
      <c r="G172">
        <v>2</v>
      </c>
      <c r="H172">
        <v>2</v>
      </c>
      <c r="I172">
        <v>4</v>
      </c>
      <c r="J172" s="187">
        <v>2.8333333333333335</v>
      </c>
      <c r="K172">
        <v>5</v>
      </c>
      <c r="L172">
        <v>3</v>
      </c>
      <c r="M172">
        <v>4</v>
      </c>
      <c r="N172">
        <v>5</v>
      </c>
      <c r="O172" s="187">
        <v>4.333333333333333</v>
      </c>
      <c r="P172">
        <v>2</v>
      </c>
      <c r="Q172">
        <v>2</v>
      </c>
      <c r="R172">
        <v>4</v>
      </c>
      <c r="S172">
        <v>5</v>
      </c>
      <c r="T172">
        <v>2</v>
      </c>
      <c r="U172">
        <v>3</v>
      </c>
      <c r="V172" s="188">
        <v>3.1666666666666665</v>
      </c>
      <c r="W172">
        <v>1</v>
      </c>
      <c r="X172">
        <v>3</v>
      </c>
      <c r="Y172">
        <v>3</v>
      </c>
      <c r="Z172">
        <v>3</v>
      </c>
      <c r="AA172" s="188">
        <v>2.1666666666666665</v>
      </c>
      <c r="AB172" s="337">
        <v>2.8499999999999996</v>
      </c>
      <c r="AC172" s="256">
        <v>5</v>
      </c>
    </row>
    <row r="173" spans="1:29" ht="16" x14ac:dyDescent="0.35">
      <c r="A173" s="102">
        <f>_xlfn.XLOOKUP(B173, 'Open Source Tools'!$E$3:$E$206, 'Open Source Tools'!$A$3:$A$206, "Not found")</f>
        <v>126</v>
      </c>
      <c r="B173" s="9" t="s">
        <v>2135</v>
      </c>
      <c r="C173" t="str">
        <f>INDEX('Open Source Tools'!D:D, MATCH(B173, 'Open Source Tools'!E:E, 0))</f>
        <v>Real-Time Energy Monitoring Platforms</v>
      </c>
      <c r="D173">
        <v>3</v>
      </c>
      <c r="E173">
        <v>3</v>
      </c>
      <c r="F173">
        <v>3</v>
      </c>
      <c r="G173">
        <v>3</v>
      </c>
      <c r="H173">
        <v>3</v>
      </c>
      <c r="I173">
        <v>4</v>
      </c>
      <c r="J173" s="187">
        <v>3.25</v>
      </c>
      <c r="K173">
        <v>5</v>
      </c>
      <c r="L173">
        <v>5</v>
      </c>
      <c r="M173">
        <v>4</v>
      </c>
      <c r="N173">
        <v>3</v>
      </c>
      <c r="O173" s="187">
        <v>4.333333333333333</v>
      </c>
      <c r="P173">
        <v>4</v>
      </c>
      <c r="Q173">
        <v>3</v>
      </c>
      <c r="R173">
        <v>4</v>
      </c>
      <c r="S173">
        <v>1</v>
      </c>
      <c r="T173">
        <v>1</v>
      </c>
      <c r="U173">
        <v>3</v>
      </c>
      <c r="V173" s="188">
        <v>2.75</v>
      </c>
      <c r="W173">
        <v>1</v>
      </c>
      <c r="X173">
        <v>3</v>
      </c>
      <c r="Y173">
        <v>3</v>
      </c>
      <c r="Z173">
        <v>3</v>
      </c>
      <c r="AA173" s="188">
        <v>2.1666666666666665</v>
      </c>
      <c r="AB173" s="337">
        <v>2.8499999999999996</v>
      </c>
      <c r="AC173" s="256">
        <v>5</v>
      </c>
    </row>
    <row r="174" spans="1:29" ht="16" x14ac:dyDescent="0.4">
      <c r="A174" s="102">
        <f>_xlfn.XLOOKUP(B174, 'Open Source Tools'!$E$3:$E$206, 'Open Source Tools'!$A$3:$A$206, "Not found")</f>
        <v>152</v>
      </c>
      <c r="B174" s="151" t="s">
        <v>2486</v>
      </c>
      <c r="C174" t="str">
        <f>INDEX('Open Source Tools'!D:D, MATCH(B174, 'Open Source Tools'!E:E, 0))</f>
        <v>Community level Modelling</v>
      </c>
      <c r="D174">
        <v>1</v>
      </c>
      <c r="E174">
        <v>2</v>
      </c>
      <c r="F174">
        <v>1</v>
      </c>
      <c r="G174">
        <v>3</v>
      </c>
      <c r="H174">
        <v>2</v>
      </c>
      <c r="I174">
        <v>3</v>
      </c>
      <c r="J174" s="187">
        <v>2.1666666666666665</v>
      </c>
      <c r="K174">
        <v>5</v>
      </c>
      <c r="L174">
        <v>3</v>
      </c>
      <c r="M174">
        <v>4</v>
      </c>
      <c r="N174">
        <v>5</v>
      </c>
      <c r="O174" s="187">
        <v>4.333333333333333</v>
      </c>
      <c r="P174">
        <v>5</v>
      </c>
      <c r="Q174">
        <v>1</v>
      </c>
      <c r="R174">
        <v>1</v>
      </c>
      <c r="S174">
        <v>1</v>
      </c>
      <c r="T174">
        <v>1</v>
      </c>
      <c r="U174">
        <v>3</v>
      </c>
      <c r="V174" s="188">
        <v>2</v>
      </c>
      <c r="W174">
        <v>1</v>
      </c>
      <c r="X174">
        <v>5</v>
      </c>
      <c r="Y174">
        <v>3</v>
      </c>
      <c r="Z174">
        <v>3</v>
      </c>
      <c r="AA174" s="188">
        <v>2.6666666666666665</v>
      </c>
      <c r="AB174" s="337">
        <v>2.8250000000000002</v>
      </c>
      <c r="AC174" s="256">
        <v>5</v>
      </c>
    </row>
    <row r="175" spans="1:29" ht="16" x14ac:dyDescent="0.35">
      <c r="A175" s="102">
        <f>_xlfn.XLOOKUP(B175, 'Open Source Tools'!$E$3:$E$206, 'Open Source Tools'!$A$3:$A$206, "Not found")</f>
        <v>8</v>
      </c>
      <c r="B175" s="9" t="s">
        <v>608</v>
      </c>
      <c r="C175" t="str">
        <f>INDEX('Open Source Tools'!D:D, MATCH(B175, 'Open Source Tools'!E:E, 0))</f>
        <v>Energy Trading Tool</v>
      </c>
      <c r="D175">
        <v>2</v>
      </c>
      <c r="E175">
        <v>2</v>
      </c>
      <c r="F175">
        <v>2</v>
      </c>
      <c r="G175">
        <v>1</v>
      </c>
      <c r="H175">
        <v>1</v>
      </c>
      <c r="I175">
        <v>1</v>
      </c>
      <c r="J175" s="187">
        <v>1.4166666666666667</v>
      </c>
      <c r="K175">
        <v>5</v>
      </c>
      <c r="L175">
        <v>5</v>
      </c>
      <c r="M175">
        <v>1</v>
      </c>
      <c r="N175">
        <v>5</v>
      </c>
      <c r="O175" s="187">
        <v>4.1111111111111107</v>
      </c>
      <c r="P175">
        <v>3</v>
      </c>
      <c r="Q175">
        <v>1</v>
      </c>
      <c r="R175">
        <v>1</v>
      </c>
      <c r="S175">
        <v>5</v>
      </c>
      <c r="T175">
        <v>5</v>
      </c>
      <c r="U175">
        <v>2</v>
      </c>
      <c r="V175" s="188">
        <v>2.8333333333333335</v>
      </c>
      <c r="W175">
        <v>1</v>
      </c>
      <c r="X175">
        <v>5</v>
      </c>
      <c r="Y175">
        <v>3</v>
      </c>
      <c r="Z175">
        <v>1</v>
      </c>
      <c r="AA175" s="188">
        <v>2.5</v>
      </c>
      <c r="AB175" s="337">
        <v>2.7097222222222221</v>
      </c>
      <c r="AC175" s="256">
        <v>5</v>
      </c>
    </row>
    <row r="176" spans="1:29" ht="16" x14ac:dyDescent="0.35">
      <c r="A176" s="102">
        <f>_xlfn.XLOOKUP(B176, 'Open Source Tools'!$E$3:$E$206, 'Open Source Tools'!$A$3:$A$206, "Not found")</f>
        <v>115</v>
      </c>
      <c r="B176" s="9" t="s">
        <v>1975</v>
      </c>
      <c r="C176" t="str">
        <f>INDEX('Open Source Tools'!D:D, MATCH(B176, 'Open Source Tools'!E:E, 0))</f>
        <v>Demand Response Systems</v>
      </c>
      <c r="D176">
        <v>1</v>
      </c>
      <c r="E176" s="241">
        <v>1</v>
      </c>
      <c r="F176">
        <v>0</v>
      </c>
      <c r="G176">
        <v>1</v>
      </c>
      <c r="H176">
        <v>1</v>
      </c>
      <c r="I176">
        <v>0</v>
      </c>
      <c r="J176" s="187">
        <v>0.66666666666666663</v>
      </c>
      <c r="K176">
        <v>1</v>
      </c>
      <c r="L176">
        <v>0</v>
      </c>
      <c r="M176">
        <v>1</v>
      </c>
      <c r="N176">
        <v>5</v>
      </c>
      <c r="O176" s="187">
        <v>1.6666666666666667</v>
      </c>
      <c r="P176">
        <v>1</v>
      </c>
      <c r="Q176">
        <v>1</v>
      </c>
      <c r="R176" s="241">
        <v>1</v>
      </c>
      <c r="S176">
        <v>0</v>
      </c>
      <c r="T176">
        <v>0</v>
      </c>
      <c r="U176">
        <v>1</v>
      </c>
      <c r="V176" s="188">
        <v>0.66666666666666663</v>
      </c>
      <c r="W176">
        <v>5</v>
      </c>
      <c r="X176">
        <v>5</v>
      </c>
      <c r="Y176">
        <v>3</v>
      </c>
      <c r="Z176">
        <v>3</v>
      </c>
      <c r="AA176" s="188">
        <v>4.333333333333333</v>
      </c>
      <c r="AB176" s="337">
        <v>2.6999999999999997</v>
      </c>
      <c r="AC176" s="256">
        <v>5</v>
      </c>
    </row>
    <row r="177" spans="1:29" ht="16" x14ac:dyDescent="0.35">
      <c r="A177" s="102">
        <f>_xlfn.XLOOKUP(B177, 'Open Source Tools'!$E$3:$E$206, 'Open Source Tools'!$A$3:$A$206, "Not found")</f>
        <v>161</v>
      </c>
      <c r="B177" s="9" t="s">
        <v>2600</v>
      </c>
      <c r="C177" t="str">
        <f>INDEX('Open Source Tools'!D:D, MATCH(B177, 'Open Source Tools'!E:E, 0))</f>
        <v>Energy System Simulation Tools (e.g., HOMER, PLEXOS)</v>
      </c>
      <c r="D177">
        <v>3</v>
      </c>
      <c r="E177">
        <v>2</v>
      </c>
      <c r="F177">
        <v>2</v>
      </c>
      <c r="G177">
        <v>3</v>
      </c>
      <c r="H177">
        <v>2</v>
      </c>
      <c r="I177">
        <v>3</v>
      </c>
      <c r="J177" s="187">
        <v>2.5833333333333335</v>
      </c>
      <c r="K177">
        <v>5</v>
      </c>
      <c r="L177">
        <v>2</v>
      </c>
      <c r="M177">
        <v>4</v>
      </c>
      <c r="N177">
        <v>5</v>
      </c>
      <c r="O177" s="187">
        <v>4.1111111111111107</v>
      </c>
      <c r="P177">
        <v>5</v>
      </c>
      <c r="Q177">
        <v>3</v>
      </c>
      <c r="R177">
        <v>4</v>
      </c>
      <c r="S177">
        <v>5</v>
      </c>
      <c r="T177">
        <v>2</v>
      </c>
      <c r="U177">
        <v>4</v>
      </c>
      <c r="V177" s="188">
        <v>3.9166666666666665</v>
      </c>
      <c r="W177">
        <v>1</v>
      </c>
      <c r="X177">
        <v>3</v>
      </c>
      <c r="Y177">
        <v>2</v>
      </c>
      <c r="Z177">
        <v>1</v>
      </c>
      <c r="AA177" s="188">
        <v>1.75</v>
      </c>
      <c r="AB177" s="337">
        <v>2.6722222222222221</v>
      </c>
      <c r="AC177" s="256">
        <v>5</v>
      </c>
    </row>
    <row r="178" spans="1:29" ht="16" x14ac:dyDescent="0.35">
      <c r="A178" s="102">
        <f>_xlfn.XLOOKUP(B178, 'Open Source Tools'!$E$3:$E$206, 'Open Source Tools'!$A$3:$A$206, "Not found")</f>
        <v>171</v>
      </c>
      <c r="B178" s="9" t="s">
        <v>2728</v>
      </c>
      <c r="C178" t="str">
        <f>INDEX('Open Source Tools'!D:D, MATCH(B178, 'Open Source Tools'!E:E, 0))</f>
        <v>Energy System Simulation Tools (e.g., HOMER, PLEXOS)</v>
      </c>
      <c r="D178">
        <v>1</v>
      </c>
      <c r="E178">
        <v>1</v>
      </c>
      <c r="F178">
        <v>1</v>
      </c>
      <c r="G178">
        <v>1</v>
      </c>
      <c r="H178">
        <v>1</v>
      </c>
      <c r="I178">
        <v>1</v>
      </c>
      <c r="J178" s="187">
        <v>1</v>
      </c>
      <c r="K178">
        <v>5</v>
      </c>
      <c r="L178">
        <v>5</v>
      </c>
      <c r="M178">
        <v>1</v>
      </c>
      <c r="N178">
        <v>1</v>
      </c>
      <c r="O178" s="187">
        <v>3.2222222222222223</v>
      </c>
      <c r="P178">
        <v>5</v>
      </c>
      <c r="Q178">
        <v>1</v>
      </c>
      <c r="R178">
        <v>5</v>
      </c>
      <c r="S178">
        <v>1</v>
      </c>
      <c r="T178">
        <v>1</v>
      </c>
      <c r="U178">
        <v>1</v>
      </c>
      <c r="V178" s="188">
        <v>2.6666666666666665</v>
      </c>
      <c r="W178">
        <v>3</v>
      </c>
      <c r="X178">
        <v>3</v>
      </c>
      <c r="Y178">
        <v>3</v>
      </c>
      <c r="Z178">
        <v>1</v>
      </c>
      <c r="AA178" s="188">
        <v>2.8333333333333335</v>
      </c>
      <c r="AB178" s="337">
        <v>2.6111111111111112</v>
      </c>
      <c r="AC178" s="256">
        <v>5</v>
      </c>
    </row>
    <row r="179" spans="1:29" ht="16" hidden="1" x14ac:dyDescent="0.35">
      <c r="A179" s="102">
        <f>_xlfn.XLOOKUP(B179, 'Open Source Tools'!$E$3:$E$206, 'Open Source Tools'!$A$3:$A$206, "Not found")</f>
        <v>25</v>
      </c>
      <c r="B179" s="9" t="s">
        <v>816</v>
      </c>
      <c r="C179" t="str">
        <f>INDEX('Open Source Tools'!D:D, MATCH(B179, 'Open Source Tools'!E:E, 0))</f>
        <v>Blockchain Technology (or DLT)</v>
      </c>
      <c r="D179">
        <v>1</v>
      </c>
      <c r="E179">
        <v>1</v>
      </c>
      <c r="F179">
        <v>1</v>
      </c>
      <c r="G179">
        <v>1</v>
      </c>
      <c r="H179">
        <v>2</v>
      </c>
      <c r="I179">
        <v>5</v>
      </c>
      <c r="J179" s="187">
        <v>2.1666666666666665</v>
      </c>
      <c r="K179">
        <v>5</v>
      </c>
      <c r="L179">
        <v>2</v>
      </c>
      <c r="M179">
        <v>4</v>
      </c>
      <c r="N179">
        <v>5</v>
      </c>
      <c r="O179" s="187">
        <v>4.1111111111111107</v>
      </c>
      <c r="P179">
        <v>3</v>
      </c>
      <c r="Q179">
        <v>1</v>
      </c>
      <c r="R179">
        <v>4</v>
      </c>
      <c r="S179">
        <v>5</v>
      </c>
      <c r="T179">
        <v>2</v>
      </c>
      <c r="U179">
        <v>3</v>
      </c>
      <c r="V179" s="188">
        <v>3.25</v>
      </c>
      <c r="W179">
        <v>1</v>
      </c>
      <c r="X179">
        <v>3</v>
      </c>
      <c r="Y179">
        <v>2</v>
      </c>
      <c r="Z179">
        <v>1</v>
      </c>
      <c r="AA179" s="188">
        <v>1.75</v>
      </c>
      <c r="AB179" s="337">
        <v>2.509722222222222</v>
      </c>
      <c r="AC179" s="256">
        <v>4</v>
      </c>
    </row>
    <row r="180" spans="1:29" ht="16" x14ac:dyDescent="0.35">
      <c r="A180" s="102">
        <f>_xlfn.XLOOKUP(B180, 'Open Source Tools'!$E$3:$E$206, 'Open Source Tools'!$A$3:$A$206, "Not found")</f>
        <v>166</v>
      </c>
      <c r="B180" s="9" t="s">
        <v>2667</v>
      </c>
      <c r="C180" t="str">
        <f>INDEX('Open Source Tools'!D:D, MATCH(B180, 'Open Source Tools'!E:E, 0))</f>
        <v>Energy System Simulation Tools (e.g., HOMER, PLEXOS)</v>
      </c>
      <c r="D180">
        <v>2</v>
      </c>
      <c r="E180">
        <v>2</v>
      </c>
      <c r="F180">
        <v>2</v>
      </c>
      <c r="G180">
        <v>2</v>
      </c>
      <c r="H180">
        <v>2</v>
      </c>
      <c r="I180">
        <v>4</v>
      </c>
      <c r="J180" s="187">
        <v>2.5</v>
      </c>
      <c r="K180">
        <v>5</v>
      </c>
      <c r="L180">
        <v>4</v>
      </c>
      <c r="M180">
        <v>4</v>
      </c>
      <c r="N180">
        <v>3</v>
      </c>
      <c r="O180" s="187">
        <v>4.1111111111111107</v>
      </c>
      <c r="P180">
        <v>5</v>
      </c>
      <c r="Q180">
        <v>2</v>
      </c>
      <c r="R180">
        <v>3</v>
      </c>
      <c r="S180">
        <v>1</v>
      </c>
      <c r="T180">
        <v>1</v>
      </c>
      <c r="U180">
        <v>3</v>
      </c>
      <c r="V180" s="188">
        <v>2.5833333333333335</v>
      </c>
      <c r="W180">
        <v>1</v>
      </c>
      <c r="X180">
        <v>3</v>
      </c>
      <c r="Y180">
        <v>3</v>
      </c>
      <c r="Z180">
        <v>1</v>
      </c>
      <c r="AA180" s="188">
        <v>2</v>
      </c>
      <c r="AB180" s="337">
        <v>2.5847222222222221</v>
      </c>
      <c r="AC180" s="256">
        <v>4</v>
      </c>
    </row>
    <row r="181" spans="1:29" ht="16" x14ac:dyDescent="0.35">
      <c r="A181" s="102">
        <f>_xlfn.XLOOKUP(B181, 'Open Source Tools'!$E$3:$E$206, 'Open Source Tools'!$A$3:$A$206, "Not found")</f>
        <v>203</v>
      </c>
      <c r="B181" s="362" t="s">
        <v>3411</v>
      </c>
      <c r="C181" t="str">
        <f>INDEX('Open Source Tools'!D:D, MATCH(B181, 'Open Source Tools'!E:E, 0))</f>
        <v>Smart Charging Algorithms</v>
      </c>
      <c r="D181">
        <v>3</v>
      </c>
      <c r="E181">
        <v>2</v>
      </c>
      <c r="F181">
        <v>2</v>
      </c>
      <c r="G181">
        <v>1</v>
      </c>
      <c r="H181">
        <v>3</v>
      </c>
      <c r="I181">
        <v>5</v>
      </c>
      <c r="J181" s="187">
        <v>2.9166666666666665</v>
      </c>
      <c r="K181">
        <v>5</v>
      </c>
      <c r="L181">
        <v>3</v>
      </c>
      <c r="M181">
        <v>4</v>
      </c>
      <c r="N181">
        <v>5</v>
      </c>
      <c r="O181" s="187">
        <v>4.333333333333333</v>
      </c>
      <c r="P181">
        <v>4</v>
      </c>
      <c r="Q181">
        <v>1</v>
      </c>
      <c r="R181">
        <v>5</v>
      </c>
      <c r="S181">
        <v>5</v>
      </c>
      <c r="T181">
        <v>5</v>
      </c>
      <c r="U181">
        <v>3</v>
      </c>
      <c r="V181" s="188">
        <v>4.166666666666667</v>
      </c>
      <c r="W181">
        <v>1</v>
      </c>
      <c r="X181">
        <v>1</v>
      </c>
      <c r="Y181">
        <v>2</v>
      </c>
      <c r="Z181">
        <v>1</v>
      </c>
      <c r="AA181" s="188">
        <v>1.25</v>
      </c>
      <c r="AB181" s="377">
        <v>2.5541666666666667</v>
      </c>
      <c r="AC181" s="256">
        <v>4</v>
      </c>
    </row>
    <row r="182" spans="1:29" ht="16" x14ac:dyDescent="0.35">
      <c r="A182" s="102">
        <f>_xlfn.XLOOKUP(B182, 'Open Source Tools'!$E$3:$E$206, 'Open Source Tools'!$A$3:$A$206, "Not found")</f>
        <v>63</v>
      </c>
      <c r="B182" s="9" t="s">
        <v>1291</v>
      </c>
      <c r="C182" t="str">
        <f>INDEX('Open Source Tools'!D:D, MATCH(B182, 'Open Source Tools'!E:E, 0))</f>
        <v>AI for Predictive Maintenance</v>
      </c>
      <c r="D182">
        <v>3</v>
      </c>
      <c r="E182">
        <v>3</v>
      </c>
      <c r="F182">
        <v>2</v>
      </c>
      <c r="G182">
        <v>2</v>
      </c>
      <c r="H182">
        <v>2</v>
      </c>
      <c r="I182">
        <v>2</v>
      </c>
      <c r="J182" s="187">
        <v>2.3333333333333335</v>
      </c>
      <c r="K182">
        <v>5</v>
      </c>
      <c r="L182">
        <v>4</v>
      </c>
      <c r="M182">
        <v>1</v>
      </c>
      <c r="N182">
        <v>3</v>
      </c>
      <c r="O182" s="187">
        <v>3.4444444444444446</v>
      </c>
      <c r="P182">
        <v>5</v>
      </c>
      <c r="Q182">
        <v>2</v>
      </c>
      <c r="R182">
        <v>4</v>
      </c>
      <c r="S182">
        <v>1</v>
      </c>
      <c r="T182">
        <v>1</v>
      </c>
      <c r="U182">
        <v>1</v>
      </c>
      <c r="V182" s="188">
        <v>2.5</v>
      </c>
      <c r="W182">
        <v>1</v>
      </c>
      <c r="X182">
        <v>5</v>
      </c>
      <c r="Y182">
        <v>2</v>
      </c>
      <c r="Z182">
        <v>1</v>
      </c>
      <c r="AA182" s="188">
        <v>2.25</v>
      </c>
      <c r="AB182" s="337">
        <v>2.5388888888888888</v>
      </c>
      <c r="AC182" s="256">
        <v>4</v>
      </c>
    </row>
    <row r="183" spans="1:29" ht="16" hidden="1" x14ac:dyDescent="0.35">
      <c r="A183" s="102">
        <f>_xlfn.XLOOKUP(B183, 'Open Source Tools'!$E$3:$E$206, 'Open Source Tools'!$A$3:$A$206, "Not found")</f>
        <v>93</v>
      </c>
      <c r="B183" s="9" t="s">
        <v>1643</v>
      </c>
      <c r="C183" t="str">
        <f>INDEX('Open Source Tools'!D:D, MATCH(B183, 'Open Source Tools'!E:E, 0))</f>
        <v>Prosumer Aggregation Tools</v>
      </c>
      <c r="D183">
        <v>1</v>
      </c>
      <c r="E183">
        <v>1</v>
      </c>
      <c r="F183" s="241">
        <v>1</v>
      </c>
      <c r="G183">
        <v>1</v>
      </c>
      <c r="H183">
        <v>2</v>
      </c>
      <c r="I183">
        <v>2</v>
      </c>
      <c r="J183" s="187">
        <v>1.4166666666666667</v>
      </c>
      <c r="K183">
        <v>5</v>
      </c>
      <c r="L183">
        <v>5</v>
      </c>
      <c r="M183">
        <v>4</v>
      </c>
      <c r="N183">
        <v>5</v>
      </c>
      <c r="O183" s="187">
        <v>4.7777777777777777</v>
      </c>
      <c r="P183">
        <v>4</v>
      </c>
      <c r="Q183">
        <v>1</v>
      </c>
      <c r="R183" s="241">
        <v>1</v>
      </c>
      <c r="S183">
        <v>1</v>
      </c>
      <c r="T183">
        <v>2</v>
      </c>
      <c r="U183">
        <v>1</v>
      </c>
      <c r="V183" s="188">
        <v>1.6666666666666667</v>
      </c>
      <c r="W183">
        <v>3</v>
      </c>
      <c r="X183">
        <v>1</v>
      </c>
      <c r="Y183">
        <v>2</v>
      </c>
      <c r="Z183">
        <v>1</v>
      </c>
      <c r="AA183" s="188">
        <v>2.0833333333333335</v>
      </c>
      <c r="AB183" s="337">
        <v>2.4597222222222221</v>
      </c>
      <c r="AC183" s="256">
        <v>4</v>
      </c>
    </row>
    <row r="184" spans="1:29" ht="16" x14ac:dyDescent="0.35">
      <c r="A184" s="102">
        <f>_xlfn.XLOOKUP(B184, 'Open Source Tools'!$E$3:$E$206, 'Open Source Tools'!$A$3:$A$206, "Not found")</f>
        <v>121</v>
      </c>
      <c r="B184" s="9" t="s">
        <v>2061</v>
      </c>
      <c r="C184" t="str">
        <f>INDEX('Open Source Tools'!D:D, MATCH(B184, 'Open Source Tools'!E:E, 0))</f>
        <v>Demand Response Systems</v>
      </c>
      <c r="D184">
        <v>3</v>
      </c>
      <c r="E184">
        <v>2</v>
      </c>
      <c r="F184">
        <v>2</v>
      </c>
      <c r="G184">
        <v>3</v>
      </c>
      <c r="H184">
        <v>2</v>
      </c>
      <c r="I184">
        <v>3</v>
      </c>
      <c r="J184" s="187">
        <v>2.5833333333333335</v>
      </c>
      <c r="K184">
        <v>5</v>
      </c>
      <c r="L184">
        <v>5</v>
      </c>
      <c r="M184">
        <v>4</v>
      </c>
      <c r="N184">
        <v>1</v>
      </c>
      <c r="O184" s="187">
        <v>3.8888888888888888</v>
      </c>
      <c r="P184">
        <v>4</v>
      </c>
      <c r="Q184">
        <v>2</v>
      </c>
      <c r="R184">
        <v>2</v>
      </c>
      <c r="S184">
        <v>1</v>
      </c>
      <c r="T184">
        <v>1</v>
      </c>
      <c r="U184">
        <v>2</v>
      </c>
      <c r="V184" s="188">
        <v>2</v>
      </c>
      <c r="W184">
        <v>1</v>
      </c>
      <c r="X184">
        <v>3</v>
      </c>
      <c r="Y184">
        <v>3</v>
      </c>
      <c r="Z184">
        <v>1</v>
      </c>
      <c r="AA184" s="188">
        <v>2</v>
      </c>
      <c r="AB184" s="337">
        <v>2.4652777777777777</v>
      </c>
      <c r="AC184" s="256">
        <v>4</v>
      </c>
    </row>
    <row r="185" spans="1:29" ht="16" x14ac:dyDescent="0.35">
      <c r="A185" s="102">
        <f>_xlfn.XLOOKUP(B185, 'Open Source Tools'!$E$3:$E$206, 'Open Source Tools'!$A$3:$A$206, "Not found")</f>
        <v>88</v>
      </c>
      <c r="B185" s="9" t="s">
        <v>1595</v>
      </c>
      <c r="C185" t="str">
        <f>INDEX('Open Source Tools'!D:D, MATCH(B185, 'Open Source Tools'!E:E, 0))</f>
        <v>Energy Sharing Apps</v>
      </c>
      <c r="D185">
        <v>1</v>
      </c>
      <c r="E185">
        <v>1</v>
      </c>
      <c r="F185">
        <v>1</v>
      </c>
      <c r="G185">
        <v>2</v>
      </c>
      <c r="H185">
        <v>1</v>
      </c>
      <c r="I185">
        <v>1</v>
      </c>
      <c r="J185" s="187">
        <v>1.1666666666666667</v>
      </c>
      <c r="K185">
        <v>1</v>
      </c>
      <c r="L185">
        <v>4</v>
      </c>
      <c r="M185">
        <v>4</v>
      </c>
      <c r="N185">
        <v>3</v>
      </c>
      <c r="O185" s="187">
        <v>2.7777777777777777</v>
      </c>
      <c r="P185">
        <v>5</v>
      </c>
      <c r="Q185">
        <v>1</v>
      </c>
      <c r="R185">
        <v>1</v>
      </c>
      <c r="S185">
        <v>1</v>
      </c>
      <c r="T185">
        <v>1</v>
      </c>
      <c r="U185">
        <v>2</v>
      </c>
      <c r="V185" s="188">
        <v>1.8333333333333333</v>
      </c>
      <c r="W185">
        <v>3</v>
      </c>
      <c r="X185">
        <v>3</v>
      </c>
      <c r="Y185">
        <v>2</v>
      </c>
      <c r="Z185">
        <v>3</v>
      </c>
      <c r="AA185" s="188">
        <v>2.75</v>
      </c>
      <c r="AB185" s="337">
        <v>2.3805555555555555</v>
      </c>
      <c r="AC185" s="256">
        <v>4</v>
      </c>
    </row>
    <row r="186" spans="1:29" ht="16" x14ac:dyDescent="0.35">
      <c r="A186" s="102">
        <f>_xlfn.XLOOKUP(B186, 'Open Source Tools'!$E$3:$E$206, 'Open Source Tools'!$A$3:$A$206, "Not found")</f>
        <v>91</v>
      </c>
      <c r="B186" s="9" t="s">
        <v>1626</v>
      </c>
      <c r="C186" t="str">
        <f>INDEX('Open Source Tools'!D:D, MATCH(B186, 'Open Source Tools'!E:E, 0))</f>
        <v>Energy Pooling Platforms</v>
      </c>
      <c r="D186">
        <v>2</v>
      </c>
      <c r="E186">
        <v>1</v>
      </c>
      <c r="F186">
        <v>2</v>
      </c>
      <c r="G186">
        <v>1</v>
      </c>
      <c r="H186">
        <v>1</v>
      </c>
      <c r="I186">
        <v>3</v>
      </c>
      <c r="J186" s="187">
        <v>1.75</v>
      </c>
      <c r="K186">
        <v>5</v>
      </c>
      <c r="L186">
        <v>5</v>
      </c>
      <c r="M186">
        <v>4</v>
      </c>
      <c r="N186">
        <v>5</v>
      </c>
      <c r="O186" s="187">
        <v>4.7777777777777777</v>
      </c>
      <c r="P186">
        <v>5</v>
      </c>
      <c r="Q186">
        <v>1</v>
      </c>
      <c r="R186">
        <v>1</v>
      </c>
      <c r="S186">
        <v>1</v>
      </c>
      <c r="T186">
        <v>1</v>
      </c>
      <c r="U186">
        <v>2</v>
      </c>
      <c r="V186" s="188">
        <v>1.8333333333333333</v>
      </c>
      <c r="W186">
        <v>1</v>
      </c>
      <c r="X186">
        <v>3</v>
      </c>
      <c r="Y186">
        <v>2</v>
      </c>
      <c r="Z186">
        <v>1</v>
      </c>
      <c r="AA186" s="188">
        <v>1.75</v>
      </c>
      <c r="AB186" s="337">
        <v>2.3680555555555554</v>
      </c>
      <c r="AC186" s="256">
        <v>4</v>
      </c>
    </row>
    <row r="187" spans="1:29" ht="16" x14ac:dyDescent="0.35">
      <c r="A187" s="102">
        <f>_xlfn.XLOOKUP(B187, 'Open Source Tools'!$E$3:$E$206, 'Open Source Tools'!$A$3:$A$206, "Not found")</f>
        <v>49</v>
      </c>
      <c r="B187" s="9" t="s">
        <v>1130</v>
      </c>
      <c r="C187" t="str">
        <f>INDEX('Open Source Tools'!D:D, MATCH(B187, 'Open Source Tools'!E:E, 0))</f>
        <v>AI-Powered Energy Forecasting</v>
      </c>
      <c r="D187">
        <v>2</v>
      </c>
      <c r="E187">
        <v>1</v>
      </c>
      <c r="F187">
        <v>1</v>
      </c>
      <c r="G187">
        <v>1</v>
      </c>
      <c r="H187">
        <v>1</v>
      </c>
      <c r="I187">
        <v>4</v>
      </c>
      <c r="J187" s="187">
        <v>1.9166666666666667</v>
      </c>
      <c r="K187">
        <v>5</v>
      </c>
      <c r="L187">
        <v>4</v>
      </c>
      <c r="M187">
        <v>4</v>
      </c>
      <c r="N187">
        <v>3</v>
      </c>
      <c r="O187" s="187">
        <v>4.1111111111111107</v>
      </c>
      <c r="P187">
        <v>2</v>
      </c>
      <c r="Q187">
        <v>1</v>
      </c>
      <c r="R187" s="241">
        <v>1</v>
      </c>
      <c r="S187">
        <v>5</v>
      </c>
      <c r="T187">
        <v>5</v>
      </c>
      <c r="U187">
        <v>2</v>
      </c>
      <c r="V187" s="188">
        <v>2.6666666666666665</v>
      </c>
      <c r="W187">
        <v>1</v>
      </c>
      <c r="X187">
        <v>3</v>
      </c>
      <c r="Y187">
        <v>1</v>
      </c>
      <c r="Z187">
        <v>1</v>
      </c>
      <c r="AA187" s="188">
        <v>1.5</v>
      </c>
      <c r="AB187" s="337">
        <v>2.259722222222222</v>
      </c>
      <c r="AC187" s="256">
        <v>3</v>
      </c>
    </row>
    <row r="188" spans="1:29" ht="16" x14ac:dyDescent="0.35">
      <c r="A188" s="102">
        <f>_xlfn.XLOOKUP(B188, 'Open Source Tools'!$E$3:$E$206, 'Open Source Tools'!$A$3:$A$206, "Not found")</f>
        <v>15</v>
      </c>
      <c r="B188" s="9" t="s">
        <v>676</v>
      </c>
      <c r="C188" t="str">
        <f>INDEX('Open Source Tools'!D:D, MATCH(B188, 'Open Source Tools'!E:E, 0))</f>
        <v>Grid Balancing Tools</v>
      </c>
      <c r="D188">
        <v>3</v>
      </c>
      <c r="E188">
        <v>2</v>
      </c>
      <c r="F188">
        <v>2</v>
      </c>
      <c r="G188">
        <v>3</v>
      </c>
      <c r="H188">
        <v>2</v>
      </c>
      <c r="I188">
        <v>1</v>
      </c>
      <c r="J188" s="187">
        <v>2.0833333333333335</v>
      </c>
      <c r="K188">
        <v>5</v>
      </c>
      <c r="L188">
        <v>5</v>
      </c>
      <c r="M188">
        <v>1</v>
      </c>
      <c r="N188">
        <v>5</v>
      </c>
      <c r="O188" s="187">
        <v>4.1111111111111107</v>
      </c>
      <c r="P188">
        <v>4</v>
      </c>
      <c r="Q188">
        <v>2</v>
      </c>
      <c r="R188">
        <v>4</v>
      </c>
      <c r="S188">
        <v>5</v>
      </c>
      <c r="T188">
        <v>5</v>
      </c>
      <c r="U188">
        <v>2</v>
      </c>
      <c r="V188" s="188">
        <v>3.8333333333333335</v>
      </c>
      <c r="W188">
        <v>1</v>
      </c>
      <c r="X188">
        <v>1</v>
      </c>
      <c r="Y188">
        <v>1</v>
      </c>
      <c r="Z188">
        <v>1</v>
      </c>
      <c r="AA188" s="188">
        <v>1</v>
      </c>
      <c r="AB188" s="337">
        <v>2.2097222222222221</v>
      </c>
      <c r="AC188" s="256">
        <v>3</v>
      </c>
    </row>
    <row r="189" spans="1:29" ht="16" hidden="1" x14ac:dyDescent="0.35">
      <c r="A189" s="102">
        <f>_xlfn.XLOOKUP(B189, 'Open Source Tools'!$E$3:$E$206, 'Open Source Tools'!$A$3:$A$206, "Not found")</f>
        <v>38</v>
      </c>
      <c r="B189" s="9" t="s">
        <v>984</v>
      </c>
      <c r="C189" t="str">
        <f>INDEX('Open Source Tools'!D:D, MATCH(B189, 'Open Source Tools'!E:E, 0))</f>
        <v>Fault Detection and Diagnostics (FDD) Tools</v>
      </c>
      <c r="D189">
        <v>2</v>
      </c>
      <c r="E189">
        <v>2</v>
      </c>
      <c r="F189">
        <v>2</v>
      </c>
      <c r="G189">
        <v>2</v>
      </c>
      <c r="H189">
        <v>2</v>
      </c>
      <c r="I189">
        <v>3</v>
      </c>
      <c r="J189" s="187">
        <v>2.25</v>
      </c>
      <c r="K189">
        <v>5</v>
      </c>
      <c r="L189">
        <v>5</v>
      </c>
      <c r="M189">
        <v>2</v>
      </c>
      <c r="N189">
        <v>3</v>
      </c>
      <c r="O189" s="187">
        <v>3.8888888888888888</v>
      </c>
      <c r="P189">
        <v>3</v>
      </c>
      <c r="Q189">
        <v>1</v>
      </c>
      <c r="R189">
        <v>4</v>
      </c>
      <c r="S189">
        <v>5</v>
      </c>
      <c r="T189">
        <v>2</v>
      </c>
      <c r="U189">
        <v>2</v>
      </c>
      <c r="V189" s="188">
        <v>3.0833333333333335</v>
      </c>
      <c r="W189">
        <v>1</v>
      </c>
      <c r="X189">
        <v>1</v>
      </c>
      <c r="Y189">
        <v>2</v>
      </c>
      <c r="Z189">
        <v>1</v>
      </c>
      <c r="AA189" s="188">
        <v>1.25</v>
      </c>
      <c r="AB189" s="337">
        <v>2.2027777777777779</v>
      </c>
      <c r="AC189" s="256">
        <v>3</v>
      </c>
    </row>
    <row r="190" spans="1:29" ht="16" customHeight="1" x14ac:dyDescent="0.35">
      <c r="A190" s="102">
        <f>_xlfn.XLOOKUP(B190, 'Open Source Tools'!$E$3:$E$206, 'Open Source Tools'!$A$3:$A$206, "Not found")</f>
        <v>145</v>
      </c>
      <c r="B190" s="9" t="s">
        <v>2390</v>
      </c>
      <c r="C190" t="str">
        <f>INDEX('Open Source Tools'!D:D, MATCH(B190, 'Open Source Tools'!E:E, 0))</f>
        <v>Community level Modelling</v>
      </c>
      <c r="D190">
        <v>2</v>
      </c>
      <c r="E190">
        <v>2</v>
      </c>
      <c r="F190">
        <v>1</v>
      </c>
      <c r="G190">
        <v>2</v>
      </c>
      <c r="H190">
        <v>2</v>
      </c>
      <c r="I190">
        <v>2</v>
      </c>
      <c r="J190" s="187">
        <v>1.9166666666666667</v>
      </c>
      <c r="K190">
        <v>5</v>
      </c>
      <c r="L190">
        <v>5</v>
      </c>
      <c r="M190">
        <v>1</v>
      </c>
      <c r="N190">
        <v>5</v>
      </c>
      <c r="O190" s="187">
        <v>4.1111111111111107</v>
      </c>
      <c r="P190">
        <v>5</v>
      </c>
      <c r="Q190">
        <v>2</v>
      </c>
      <c r="R190">
        <v>5</v>
      </c>
      <c r="S190">
        <v>1</v>
      </c>
      <c r="T190">
        <v>1</v>
      </c>
      <c r="U190">
        <v>2</v>
      </c>
      <c r="V190" s="188">
        <v>2.9166666666666665</v>
      </c>
      <c r="W190">
        <v>1</v>
      </c>
      <c r="X190">
        <v>1</v>
      </c>
      <c r="Y190">
        <v>2</v>
      </c>
      <c r="Z190">
        <v>1</v>
      </c>
      <c r="AA190" s="188">
        <v>1.25</v>
      </c>
      <c r="AB190" s="337">
        <v>2.1722222222222221</v>
      </c>
      <c r="AC190" s="256">
        <v>3</v>
      </c>
    </row>
    <row r="191" spans="1:29" ht="16" customHeight="1" x14ac:dyDescent="0.35">
      <c r="A191" s="102">
        <f>_xlfn.XLOOKUP(B191, 'Open Source Tools'!$E$3:$E$206, 'Open Source Tools'!$A$3:$A$206, "Not found")</f>
        <v>52</v>
      </c>
      <c r="B191" s="9" t="s">
        <v>1167</v>
      </c>
      <c r="C191" t="str">
        <f>INDEX('Open Source Tools'!D:D, MATCH(B191, 'Open Source Tools'!E:E, 0))</f>
        <v>Machine Learning Algorithms</v>
      </c>
      <c r="D191">
        <v>2</v>
      </c>
      <c r="E191">
        <v>2</v>
      </c>
      <c r="F191">
        <v>2</v>
      </c>
      <c r="G191">
        <v>1</v>
      </c>
      <c r="H191">
        <v>1</v>
      </c>
      <c r="I191">
        <v>1</v>
      </c>
      <c r="J191" s="187">
        <v>1.4166666666666667</v>
      </c>
      <c r="K191">
        <v>5</v>
      </c>
      <c r="L191">
        <v>5</v>
      </c>
      <c r="M191">
        <v>1</v>
      </c>
      <c r="N191">
        <v>1</v>
      </c>
      <c r="O191" s="187">
        <v>3.2222222222222223</v>
      </c>
      <c r="P191">
        <v>4</v>
      </c>
      <c r="Q191">
        <v>1</v>
      </c>
      <c r="R191">
        <v>3</v>
      </c>
      <c r="S191">
        <v>1</v>
      </c>
      <c r="T191">
        <v>1</v>
      </c>
      <c r="U191">
        <v>1</v>
      </c>
      <c r="V191" s="188">
        <v>2</v>
      </c>
      <c r="W191">
        <v>1</v>
      </c>
      <c r="X191">
        <v>3</v>
      </c>
      <c r="Y191">
        <v>3</v>
      </c>
      <c r="Z191">
        <v>1</v>
      </c>
      <c r="AA191" s="188">
        <v>2</v>
      </c>
      <c r="AB191" s="337">
        <v>2.1569444444444446</v>
      </c>
      <c r="AC191" s="256">
        <v>3</v>
      </c>
    </row>
    <row r="192" spans="1:29" ht="16" customHeight="1" x14ac:dyDescent="0.35">
      <c r="A192" s="102">
        <f>_xlfn.XLOOKUP(B192, 'Open Source Tools'!$E$3:$E$206, 'Open Source Tools'!$A$3:$A$206, "Not found")</f>
        <v>141</v>
      </c>
      <c r="B192" s="9" t="s">
        <v>2335</v>
      </c>
      <c r="C192" t="str">
        <f>INDEX('Open Source Tools'!D:D, MATCH(B192, 'Open Source Tools'!E:E, 0))</f>
        <v>DSO level modelling</v>
      </c>
      <c r="D192">
        <v>1</v>
      </c>
      <c r="E192">
        <v>1</v>
      </c>
      <c r="F192">
        <v>2</v>
      </c>
      <c r="G192">
        <v>1</v>
      </c>
      <c r="H192">
        <v>2</v>
      </c>
      <c r="I192">
        <v>1</v>
      </c>
      <c r="J192" s="187">
        <v>1.25</v>
      </c>
      <c r="K192">
        <v>5</v>
      </c>
      <c r="L192">
        <v>4</v>
      </c>
      <c r="M192">
        <v>4</v>
      </c>
      <c r="N192">
        <v>5</v>
      </c>
      <c r="O192" s="187">
        <v>4.5555555555555554</v>
      </c>
      <c r="P192">
        <v>4</v>
      </c>
      <c r="Q192">
        <v>1</v>
      </c>
      <c r="R192">
        <v>5</v>
      </c>
      <c r="S192">
        <v>5</v>
      </c>
      <c r="T192">
        <v>2</v>
      </c>
      <c r="U192">
        <v>1</v>
      </c>
      <c r="V192" s="188">
        <v>3.3333333333333335</v>
      </c>
      <c r="W192">
        <v>1</v>
      </c>
      <c r="X192">
        <v>1</v>
      </c>
      <c r="Y192">
        <v>1</v>
      </c>
      <c r="Z192">
        <v>1</v>
      </c>
      <c r="AA192" s="188">
        <v>1</v>
      </c>
      <c r="AB192" s="337">
        <v>2.098611111111111</v>
      </c>
      <c r="AC192" s="256">
        <v>3</v>
      </c>
    </row>
    <row r="193" spans="1:29" ht="16" hidden="1" customHeight="1" x14ac:dyDescent="0.35">
      <c r="A193" s="102">
        <f>_xlfn.XLOOKUP(B193, 'Open Source Tools'!$E$3:$E$206, 'Open Source Tools'!$A$3:$A$206, "Not found")</f>
        <v>89</v>
      </c>
      <c r="B193" s="9" t="s">
        <v>1606</v>
      </c>
      <c r="C193" t="str">
        <f>INDEX('Open Source Tools'!D:D, MATCH(B193, 'Open Source Tools'!E:E, 0))</f>
        <v>Community Solar Gardens</v>
      </c>
      <c r="D193">
        <v>2</v>
      </c>
      <c r="E193">
        <v>2</v>
      </c>
      <c r="F193">
        <v>2</v>
      </c>
      <c r="G193">
        <v>2</v>
      </c>
      <c r="H193">
        <v>1</v>
      </c>
      <c r="I193">
        <v>2</v>
      </c>
      <c r="J193" s="187">
        <v>1.8333333333333333</v>
      </c>
      <c r="K193">
        <v>5</v>
      </c>
      <c r="L193">
        <v>3</v>
      </c>
      <c r="M193">
        <v>1</v>
      </c>
      <c r="N193">
        <v>1</v>
      </c>
      <c r="O193" s="187">
        <v>2.7777777777777777</v>
      </c>
      <c r="P193">
        <v>4</v>
      </c>
      <c r="Q193">
        <v>1</v>
      </c>
      <c r="R193">
        <v>4</v>
      </c>
      <c r="S193">
        <v>5</v>
      </c>
      <c r="T193">
        <v>5</v>
      </c>
      <c r="U193">
        <v>2</v>
      </c>
      <c r="V193" s="188">
        <v>3.75</v>
      </c>
      <c r="W193">
        <v>1</v>
      </c>
      <c r="X193">
        <v>1</v>
      </c>
      <c r="Y193">
        <v>2</v>
      </c>
      <c r="Z193">
        <v>1</v>
      </c>
      <c r="AA193" s="188">
        <v>1.25</v>
      </c>
      <c r="AB193" s="337">
        <v>2.0180555555555557</v>
      </c>
      <c r="AC193" s="256">
        <v>3</v>
      </c>
    </row>
    <row r="194" spans="1:29" ht="16" customHeight="1" x14ac:dyDescent="0.35">
      <c r="A194" s="102">
        <f>_xlfn.XLOOKUP(B194, 'Open Source Tools'!$E$3:$E$206, 'Open Source Tools'!$A$3:$A$206, "Not found")</f>
        <v>122</v>
      </c>
      <c r="B194" s="9" t="s">
        <v>2076</v>
      </c>
      <c r="C194" t="str">
        <f>INDEX('Open Source Tools'!D:D, MATCH(B194, 'Open Source Tools'!E:E, 0))</f>
        <v>Real-Time Energy Monitoring Platforms</v>
      </c>
      <c r="D194">
        <v>1</v>
      </c>
      <c r="E194">
        <v>1</v>
      </c>
      <c r="F194">
        <v>2</v>
      </c>
      <c r="G194">
        <v>1</v>
      </c>
      <c r="H194">
        <v>1</v>
      </c>
      <c r="I194">
        <v>1</v>
      </c>
      <c r="J194" s="187">
        <v>1.0833333333333333</v>
      </c>
      <c r="K194">
        <v>5</v>
      </c>
      <c r="L194">
        <v>5</v>
      </c>
      <c r="M194">
        <v>4</v>
      </c>
      <c r="N194">
        <v>1</v>
      </c>
      <c r="O194" s="187">
        <v>3.8888888888888888</v>
      </c>
      <c r="P194">
        <v>5</v>
      </c>
      <c r="Q194">
        <v>1</v>
      </c>
      <c r="R194" s="241">
        <v>1</v>
      </c>
      <c r="S194">
        <v>1</v>
      </c>
      <c r="T194">
        <v>1</v>
      </c>
      <c r="U194">
        <v>1</v>
      </c>
      <c r="V194" s="188">
        <v>1.6666666666666667</v>
      </c>
      <c r="W194">
        <v>1</v>
      </c>
      <c r="X194">
        <v>3</v>
      </c>
      <c r="Y194">
        <v>2</v>
      </c>
      <c r="Z194">
        <v>1</v>
      </c>
      <c r="AA194" s="188">
        <v>1.75</v>
      </c>
      <c r="AB194" s="337">
        <v>2.0652777777777778</v>
      </c>
      <c r="AC194" s="256">
        <v>3</v>
      </c>
    </row>
    <row r="195" spans="1:29" ht="16" customHeight="1" x14ac:dyDescent="0.35">
      <c r="A195" s="102">
        <f>_xlfn.XLOOKUP(B195, 'Open Source Tools'!$E$3:$E$206, 'Open Source Tools'!$A$3:$A$206, "Not found")</f>
        <v>92</v>
      </c>
      <c r="B195" s="9" t="s">
        <v>1635</v>
      </c>
      <c r="C195" t="str">
        <f>INDEX('Open Source Tools'!D:D, MATCH(B195, 'Open Source Tools'!E:E, 0))</f>
        <v>Virtual Power Plants (VPPs)</v>
      </c>
      <c r="D195">
        <v>2</v>
      </c>
      <c r="E195">
        <v>1</v>
      </c>
      <c r="F195">
        <v>1</v>
      </c>
      <c r="G195">
        <v>1</v>
      </c>
      <c r="H195">
        <v>1</v>
      </c>
      <c r="I195">
        <v>3</v>
      </c>
      <c r="J195" s="187">
        <v>1.6666666666666667</v>
      </c>
      <c r="K195">
        <v>5</v>
      </c>
      <c r="L195">
        <v>5</v>
      </c>
      <c r="M195">
        <v>4</v>
      </c>
      <c r="N195">
        <v>5</v>
      </c>
      <c r="O195" s="187">
        <v>4.7777777777777777</v>
      </c>
      <c r="P195">
        <v>4</v>
      </c>
      <c r="Q195">
        <v>1</v>
      </c>
      <c r="R195" s="241">
        <v>1</v>
      </c>
      <c r="S195">
        <v>1</v>
      </c>
      <c r="T195">
        <v>1</v>
      </c>
      <c r="U195">
        <v>1</v>
      </c>
      <c r="V195" s="188">
        <v>1.5</v>
      </c>
      <c r="W195">
        <v>1</v>
      </c>
      <c r="X195">
        <v>1</v>
      </c>
      <c r="Y195">
        <v>2</v>
      </c>
      <c r="Z195">
        <v>1</v>
      </c>
      <c r="AA195" s="188">
        <v>1.25</v>
      </c>
      <c r="AB195" s="337">
        <v>2.0555555555555558</v>
      </c>
      <c r="AC195" s="256">
        <v>3</v>
      </c>
    </row>
    <row r="196" spans="1:29" ht="16" customHeight="1" x14ac:dyDescent="0.35">
      <c r="A196" s="102">
        <f>_xlfn.XLOOKUP(B196, 'Open Source Tools'!$E$3:$E$206, 'Open Source Tools'!$A$3:$A$206, "Not found")</f>
        <v>59</v>
      </c>
      <c r="B196" s="9" t="s">
        <v>1247</v>
      </c>
      <c r="C196" t="str">
        <f>INDEX('Open Source Tools'!D:D, MATCH(B196, 'Open Source Tools'!E:E, 0))</f>
        <v>Anomaly Detection in Energy Systems</v>
      </c>
      <c r="D196">
        <v>2</v>
      </c>
      <c r="E196">
        <v>1</v>
      </c>
      <c r="F196">
        <v>1</v>
      </c>
      <c r="G196">
        <v>2</v>
      </c>
      <c r="H196">
        <v>2</v>
      </c>
      <c r="I196">
        <v>1</v>
      </c>
      <c r="J196" s="187">
        <v>1.5</v>
      </c>
      <c r="K196">
        <v>5</v>
      </c>
      <c r="L196">
        <v>3</v>
      </c>
      <c r="M196">
        <v>5</v>
      </c>
      <c r="N196">
        <v>3</v>
      </c>
      <c r="O196" s="187">
        <v>4.1111111111111107</v>
      </c>
      <c r="P196">
        <v>5</v>
      </c>
      <c r="Q196">
        <v>1</v>
      </c>
      <c r="R196">
        <v>1</v>
      </c>
      <c r="S196">
        <v>5</v>
      </c>
      <c r="T196">
        <v>5</v>
      </c>
      <c r="U196">
        <v>3</v>
      </c>
      <c r="V196" s="188">
        <v>3.3333333333333335</v>
      </c>
      <c r="W196">
        <v>1</v>
      </c>
      <c r="X196">
        <v>1</v>
      </c>
      <c r="Y196">
        <v>1</v>
      </c>
      <c r="Z196">
        <v>1</v>
      </c>
      <c r="AA196" s="188">
        <v>1</v>
      </c>
      <c r="AB196" s="337">
        <v>2.0472222222222221</v>
      </c>
      <c r="AC196" s="256">
        <v>3</v>
      </c>
    </row>
    <row r="197" spans="1:29" ht="16" customHeight="1" x14ac:dyDescent="0.35">
      <c r="A197" s="102">
        <f>_xlfn.XLOOKUP(B197, 'Open Source Tools'!$E$3:$E$206, 'Open Source Tools'!$A$3:$A$206, "Not found")</f>
        <v>163</v>
      </c>
      <c r="B197" s="9" t="s">
        <v>2628</v>
      </c>
      <c r="C197" t="str">
        <f>INDEX('Open Source Tools'!D:D, MATCH(B197, 'Open Source Tools'!E:E, 0))</f>
        <v>Energy System Simulation Tools (e.g., HOMER, PLEXOS)</v>
      </c>
      <c r="D197">
        <v>2</v>
      </c>
      <c r="E197">
        <v>2</v>
      </c>
      <c r="F197">
        <v>2</v>
      </c>
      <c r="G197">
        <v>2</v>
      </c>
      <c r="H197">
        <v>2</v>
      </c>
      <c r="I197">
        <v>1</v>
      </c>
      <c r="J197" s="187">
        <v>1.75</v>
      </c>
      <c r="K197">
        <v>5</v>
      </c>
      <c r="L197">
        <v>2</v>
      </c>
      <c r="M197">
        <v>4</v>
      </c>
      <c r="N197">
        <v>1</v>
      </c>
      <c r="O197" s="187">
        <v>3.2222222222222223</v>
      </c>
      <c r="P197">
        <v>4</v>
      </c>
      <c r="Q197">
        <v>2</v>
      </c>
      <c r="R197">
        <v>3</v>
      </c>
      <c r="S197">
        <v>1</v>
      </c>
      <c r="T197">
        <v>1</v>
      </c>
      <c r="U197">
        <v>4</v>
      </c>
      <c r="V197" s="188">
        <v>2.5833333333333335</v>
      </c>
      <c r="W197">
        <v>1</v>
      </c>
      <c r="X197">
        <v>1</v>
      </c>
      <c r="Y197">
        <v>3</v>
      </c>
      <c r="Z197">
        <v>1</v>
      </c>
      <c r="AA197" s="188">
        <v>1.5</v>
      </c>
      <c r="AB197" s="337">
        <v>2.0444444444444443</v>
      </c>
      <c r="AC197" s="256">
        <v>3</v>
      </c>
    </row>
    <row r="198" spans="1:29" ht="16" customHeight="1" x14ac:dyDescent="0.35">
      <c r="A198" s="102">
        <f>_xlfn.XLOOKUP(B198, 'Open Source Tools'!$E$3:$E$206, 'Open Source Tools'!$A$3:$A$206, "Not found")</f>
        <v>6</v>
      </c>
      <c r="B198" s="9" t="s">
        <v>583</v>
      </c>
      <c r="C198" t="str">
        <f>INDEX('Open Source Tools'!D:D, MATCH(B198, 'Open Source Tools'!E:E, 0))</f>
        <v>Virtual Power Plants (VPPs)</v>
      </c>
      <c r="D198">
        <v>2</v>
      </c>
      <c r="E198">
        <v>2</v>
      </c>
      <c r="F198">
        <v>2</v>
      </c>
      <c r="G198">
        <v>2</v>
      </c>
      <c r="H198">
        <v>2</v>
      </c>
      <c r="I198">
        <v>3</v>
      </c>
      <c r="J198" s="187">
        <v>2.25</v>
      </c>
      <c r="K198">
        <v>5</v>
      </c>
      <c r="L198">
        <v>5</v>
      </c>
      <c r="M198">
        <v>4</v>
      </c>
      <c r="N198">
        <v>3</v>
      </c>
      <c r="O198" s="187">
        <v>4.333333333333333</v>
      </c>
      <c r="P198">
        <v>3</v>
      </c>
      <c r="Q198">
        <v>2</v>
      </c>
      <c r="R198">
        <v>3</v>
      </c>
      <c r="S198">
        <v>1</v>
      </c>
      <c r="T198">
        <v>1</v>
      </c>
      <c r="U198">
        <v>2</v>
      </c>
      <c r="V198" s="188">
        <v>2.0833333333333335</v>
      </c>
      <c r="W198">
        <v>1</v>
      </c>
      <c r="X198">
        <v>1</v>
      </c>
      <c r="Y198">
        <v>1</v>
      </c>
      <c r="Z198">
        <v>1</v>
      </c>
      <c r="AA198" s="188">
        <v>1</v>
      </c>
      <c r="AB198" s="337">
        <v>2.0166666666666666</v>
      </c>
      <c r="AC198" s="256">
        <v>3</v>
      </c>
    </row>
    <row r="199" spans="1:29" ht="16" customHeight="1" x14ac:dyDescent="0.35">
      <c r="A199" s="102">
        <f>_xlfn.XLOOKUP(B199, 'Open Source Tools'!$E$3:$E$206, 'Open Source Tools'!$A$3:$A$206, "Not found")</f>
        <v>110</v>
      </c>
      <c r="B199" s="9" t="s">
        <v>1905</v>
      </c>
      <c r="C199" t="str">
        <f>INDEX('Open Source Tools'!D:D, MATCH(B199, 'Open Source Tools'!E:E, 0))</f>
        <v>Home Energy Management Systems (HEMS)</v>
      </c>
      <c r="D199">
        <v>1</v>
      </c>
      <c r="E199">
        <v>1</v>
      </c>
      <c r="F199">
        <v>1</v>
      </c>
      <c r="G199">
        <v>1</v>
      </c>
      <c r="H199">
        <v>1</v>
      </c>
      <c r="I199">
        <v>3</v>
      </c>
      <c r="J199" s="187">
        <v>1.5</v>
      </c>
      <c r="K199">
        <v>5</v>
      </c>
      <c r="L199">
        <v>5</v>
      </c>
      <c r="M199">
        <v>1</v>
      </c>
      <c r="N199">
        <v>1</v>
      </c>
      <c r="O199" s="187">
        <v>3.2222222222222223</v>
      </c>
      <c r="P199">
        <v>5</v>
      </c>
      <c r="Q199">
        <v>1</v>
      </c>
      <c r="R199">
        <v>1</v>
      </c>
      <c r="S199">
        <v>5</v>
      </c>
      <c r="T199">
        <v>5</v>
      </c>
      <c r="U199">
        <v>1</v>
      </c>
      <c r="V199" s="188">
        <v>3</v>
      </c>
      <c r="W199">
        <v>1</v>
      </c>
      <c r="X199">
        <v>1</v>
      </c>
      <c r="Y199">
        <v>2</v>
      </c>
      <c r="Z199">
        <v>1</v>
      </c>
      <c r="AA199" s="188">
        <v>1.25</v>
      </c>
      <c r="AB199" s="337">
        <v>1.9444444444444444</v>
      </c>
      <c r="AC199" s="256">
        <v>2</v>
      </c>
    </row>
    <row r="200" spans="1:29" ht="16" hidden="1" customHeight="1" x14ac:dyDescent="0.35">
      <c r="A200" s="102">
        <f>_xlfn.XLOOKUP(B200, 'Open Source Tools'!$E$3:$E$206, 'Open Source Tools'!$A$3:$A$206, "Not found")</f>
        <v>40</v>
      </c>
      <c r="B200" s="9" t="s">
        <v>1011</v>
      </c>
      <c r="C200" t="str">
        <f>INDEX('Open Source Tools'!D:D, MATCH(B200, 'Open Source Tools'!E:E, 0))</f>
        <v>Fault Detection and Diagnostics (FDD) Tools</v>
      </c>
      <c r="D200">
        <v>1</v>
      </c>
      <c r="E200">
        <v>1</v>
      </c>
      <c r="F200">
        <v>1</v>
      </c>
      <c r="G200">
        <v>1</v>
      </c>
      <c r="H200">
        <v>1</v>
      </c>
      <c r="I200">
        <v>1</v>
      </c>
      <c r="J200" s="187">
        <v>1</v>
      </c>
      <c r="K200">
        <v>5</v>
      </c>
      <c r="L200">
        <v>5</v>
      </c>
      <c r="M200">
        <v>1</v>
      </c>
      <c r="N200">
        <v>1</v>
      </c>
      <c r="O200" s="187">
        <v>3.2222222222222223</v>
      </c>
      <c r="P200">
        <v>4</v>
      </c>
      <c r="Q200">
        <v>1</v>
      </c>
      <c r="R200" s="241">
        <v>1</v>
      </c>
      <c r="S200">
        <v>1</v>
      </c>
      <c r="T200">
        <v>1</v>
      </c>
      <c r="U200">
        <v>1</v>
      </c>
      <c r="V200" s="188">
        <v>1.5</v>
      </c>
      <c r="W200">
        <v>1</v>
      </c>
      <c r="X200">
        <v>3</v>
      </c>
      <c r="Y200">
        <v>1</v>
      </c>
      <c r="Z200">
        <v>1</v>
      </c>
      <c r="AA200" s="188">
        <v>1.5</v>
      </c>
      <c r="AB200" s="337">
        <v>1.7694444444444444</v>
      </c>
      <c r="AC200" s="256">
        <v>2</v>
      </c>
    </row>
    <row r="201" spans="1:29" ht="16" customHeight="1" x14ac:dyDescent="0.35">
      <c r="A201" s="102">
        <f>_xlfn.XLOOKUP(B201, 'Open Source Tools'!$E$3:$E$206, 'Open Source Tools'!$A$3:$A$206, "Not found")</f>
        <v>51</v>
      </c>
      <c r="B201" s="9" t="s">
        <v>1156</v>
      </c>
      <c r="C201" t="str">
        <f>INDEX('Open Source Tools'!D:D, MATCH(B201, 'Open Source Tools'!E:E, 0))</f>
        <v>Machine Learning Algorithms</v>
      </c>
      <c r="D201">
        <v>2</v>
      </c>
      <c r="E201">
        <v>2</v>
      </c>
      <c r="F201">
        <v>1</v>
      </c>
      <c r="G201">
        <v>1</v>
      </c>
      <c r="H201">
        <v>1</v>
      </c>
      <c r="I201">
        <v>2</v>
      </c>
      <c r="J201" s="187">
        <v>1.5833333333333333</v>
      </c>
      <c r="K201">
        <v>5</v>
      </c>
      <c r="L201">
        <v>5</v>
      </c>
      <c r="M201">
        <v>1</v>
      </c>
      <c r="N201">
        <v>5</v>
      </c>
      <c r="O201" s="187">
        <v>4.1111111111111107</v>
      </c>
      <c r="P201">
        <v>4</v>
      </c>
      <c r="Q201">
        <v>1</v>
      </c>
      <c r="R201">
        <v>1</v>
      </c>
      <c r="S201">
        <v>1</v>
      </c>
      <c r="T201">
        <v>1</v>
      </c>
      <c r="U201">
        <v>1</v>
      </c>
      <c r="V201" s="188">
        <v>1.5</v>
      </c>
      <c r="W201">
        <v>1</v>
      </c>
      <c r="X201">
        <v>1</v>
      </c>
      <c r="Y201">
        <v>2</v>
      </c>
      <c r="Z201">
        <v>1</v>
      </c>
      <c r="AA201" s="188">
        <v>1.25</v>
      </c>
      <c r="AB201" s="337">
        <v>1.9097222222222223</v>
      </c>
      <c r="AC201" s="256">
        <v>2</v>
      </c>
    </row>
    <row r="202" spans="1:29" ht="16" customHeight="1" x14ac:dyDescent="0.35">
      <c r="A202" s="102">
        <f>_xlfn.XLOOKUP(B202, 'Open Source Tools'!$E$3:$E$206, 'Open Source Tools'!$A$3:$A$206, "Not found")</f>
        <v>146</v>
      </c>
      <c r="B202" s="9" t="s">
        <v>2404</v>
      </c>
      <c r="C202" t="str">
        <f>INDEX('Open Source Tools'!D:D, MATCH(B202, 'Open Source Tools'!E:E, 0))</f>
        <v>Community level Modelling</v>
      </c>
      <c r="D202">
        <v>1</v>
      </c>
      <c r="E202">
        <v>1</v>
      </c>
      <c r="F202">
        <v>1</v>
      </c>
      <c r="G202">
        <v>1</v>
      </c>
      <c r="H202">
        <v>1</v>
      </c>
      <c r="I202">
        <v>1</v>
      </c>
      <c r="J202" s="187">
        <v>1</v>
      </c>
      <c r="K202">
        <v>5</v>
      </c>
      <c r="L202">
        <v>5</v>
      </c>
      <c r="M202">
        <v>1</v>
      </c>
      <c r="N202">
        <v>3</v>
      </c>
      <c r="O202" s="187">
        <v>3.6666666666666665</v>
      </c>
      <c r="P202">
        <v>4</v>
      </c>
      <c r="Q202">
        <v>1</v>
      </c>
      <c r="R202" s="241">
        <v>1</v>
      </c>
      <c r="S202">
        <v>1</v>
      </c>
      <c r="T202">
        <v>1</v>
      </c>
      <c r="U202">
        <v>2</v>
      </c>
      <c r="V202" s="188">
        <v>1.6666666666666667</v>
      </c>
      <c r="W202">
        <v>1</v>
      </c>
      <c r="X202">
        <v>1</v>
      </c>
      <c r="Y202">
        <v>3</v>
      </c>
      <c r="Z202">
        <v>1</v>
      </c>
      <c r="AA202" s="188">
        <v>1.5</v>
      </c>
      <c r="AB202" s="337">
        <v>1.8833333333333333</v>
      </c>
      <c r="AC202" s="256">
        <v>2</v>
      </c>
    </row>
    <row r="203" spans="1:29" ht="16" customHeight="1" x14ac:dyDescent="0.35">
      <c r="A203" s="102">
        <f>_xlfn.XLOOKUP(B203, 'Open Source Tools'!$E$3:$E$206, 'Open Source Tools'!$A$3:$A$206, "Not found")</f>
        <v>55</v>
      </c>
      <c r="B203" s="9" t="s">
        <v>1200</v>
      </c>
      <c r="C203" t="str">
        <f>INDEX('Open Source Tools'!D:D, MATCH(B203, 'Open Source Tools'!E:E, 0))</f>
        <v>Machine Learning Algorithms</v>
      </c>
      <c r="D203">
        <v>2</v>
      </c>
      <c r="E203">
        <v>1</v>
      </c>
      <c r="F203">
        <v>1</v>
      </c>
      <c r="G203">
        <v>1</v>
      </c>
      <c r="H203">
        <v>1</v>
      </c>
      <c r="I203">
        <v>1</v>
      </c>
      <c r="J203" s="187">
        <v>1.1666666666666667</v>
      </c>
      <c r="K203">
        <v>5</v>
      </c>
      <c r="L203">
        <v>5</v>
      </c>
      <c r="M203">
        <v>1</v>
      </c>
      <c r="N203">
        <v>3</v>
      </c>
      <c r="O203" s="187">
        <v>3.6666666666666665</v>
      </c>
      <c r="P203">
        <v>3</v>
      </c>
      <c r="Q203">
        <v>1</v>
      </c>
      <c r="R203" s="241">
        <v>1</v>
      </c>
      <c r="S203">
        <v>1</v>
      </c>
      <c r="T203">
        <v>1</v>
      </c>
      <c r="U203">
        <v>1</v>
      </c>
      <c r="V203" s="188">
        <v>1.3333333333333333</v>
      </c>
      <c r="W203">
        <v>1</v>
      </c>
      <c r="X203">
        <v>1</v>
      </c>
      <c r="Y203">
        <v>2</v>
      </c>
      <c r="Z203">
        <v>1</v>
      </c>
      <c r="AA203" s="188">
        <v>1.25</v>
      </c>
      <c r="AB203" s="337">
        <v>1.7333333333333334</v>
      </c>
      <c r="AC203" s="256">
        <v>2</v>
      </c>
    </row>
    <row r="204" spans="1:29" ht="16" x14ac:dyDescent="0.35">
      <c r="A204" s="102">
        <f>_xlfn.XLOOKUP(B204, 'Open Source Tools'!$E$3:$E$206, 'Open Source Tools'!$A$3:$A$206, "Not found")</f>
        <v>58</v>
      </c>
      <c r="B204" s="9" t="s">
        <v>1236</v>
      </c>
      <c r="C204" t="str">
        <f>INDEX('Open Source Tools'!D:D, MATCH(B204, 'Open Source Tools'!E:E, 0))</f>
        <v>Anomaly Detection in Energy Systems</v>
      </c>
      <c r="D204">
        <v>2</v>
      </c>
      <c r="E204">
        <v>1</v>
      </c>
      <c r="F204">
        <v>1</v>
      </c>
      <c r="G204">
        <v>1</v>
      </c>
      <c r="H204">
        <v>1</v>
      </c>
      <c r="I204">
        <v>1</v>
      </c>
      <c r="J204" s="187">
        <v>1.1666666666666667</v>
      </c>
      <c r="K204">
        <v>5</v>
      </c>
      <c r="L204">
        <v>5</v>
      </c>
      <c r="M204">
        <v>1</v>
      </c>
      <c r="N204">
        <v>3</v>
      </c>
      <c r="O204" s="187">
        <v>3.6666666666666665</v>
      </c>
      <c r="P204">
        <v>1</v>
      </c>
      <c r="Q204">
        <v>1</v>
      </c>
      <c r="R204" s="241">
        <v>1</v>
      </c>
      <c r="S204">
        <v>1</v>
      </c>
      <c r="T204">
        <v>1</v>
      </c>
      <c r="U204">
        <v>1</v>
      </c>
      <c r="V204" s="188">
        <v>1</v>
      </c>
      <c r="W204">
        <v>1</v>
      </c>
      <c r="X204">
        <v>1</v>
      </c>
      <c r="Y204">
        <v>2</v>
      </c>
      <c r="Z204">
        <v>1</v>
      </c>
      <c r="AA204" s="188">
        <v>1.25</v>
      </c>
      <c r="AB204" s="365">
        <v>1.6833333333333333</v>
      </c>
      <c r="AC204" s="256">
        <v>2</v>
      </c>
    </row>
    <row r="205" spans="1:29" ht="16" x14ac:dyDescent="0.35">
      <c r="A205" s="102">
        <f>_xlfn.XLOOKUP(B205, 'Open Source Tools'!$E$3:$E$206, 'Open Source Tools'!$A$3:$A$206, "Not found")</f>
        <v>4</v>
      </c>
      <c r="B205" s="9" t="s">
        <v>558</v>
      </c>
      <c r="C205" t="str">
        <f>INDEX('Open Source Tools'!D:D, MATCH(B205, 'Open Source Tools'!E:E, 0))</f>
        <v>Peer-to-Peer (P2P) Energy Trading Platforms</v>
      </c>
      <c r="D205">
        <v>1</v>
      </c>
      <c r="E205">
        <v>1</v>
      </c>
      <c r="F205">
        <v>1</v>
      </c>
      <c r="G205">
        <v>1</v>
      </c>
      <c r="H205">
        <v>1</v>
      </c>
      <c r="I205">
        <v>1</v>
      </c>
      <c r="J205" s="187">
        <v>1</v>
      </c>
      <c r="K205">
        <v>1</v>
      </c>
      <c r="L205">
        <v>4</v>
      </c>
      <c r="M205">
        <v>1</v>
      </c>
      <c r="N205">
        <v>3</v>
      </c>
      <c r="O205" s="187">
        <v>2.1111111111111112</v>
      </c>
      <c r="P205">
        <v>1</v>
      </c>
      <c r="Q205">
        <v>1</v>
      </c>
      <c r="R205" s="241">
        <v>1</v>
      </c>
      <c r="S205">
        <v>1</v>
      </c>
      <c r="T205">
        <v>2</v>
      </c>
      <c r="U205">
        <v>1</v>
      </c>
      <c r="V205" s="188">
        <v>1.1666666666666667</v>
      </c>
      <c r="W205">
        <v>1</v>
      </c>
      <c r="X205">
        <v>3</v>
      </c>
      <c r="Y205">
        <v>2</v>
      </c>
      <c r="Z205">
        <v>1</v>
      </c>
      <c r="AA205" s="188">
        <v>1.75</v>
      </c>
      <c r="AB205" s="337">
        <v>1.6222222222222222</v>
      </c>
      <c r="AC205" s="256">
        <v>2</v>
      </c>
    </row>
    <row r="206" spans="1:29" ht="16" hidden="1" x14ac:dyDescent="0.35">
      <c r="A206" s="102">
        <f>_xlfn.XLOOKUP(B206, 'Open Source Tools'!$E$3:$E$206, 'Open Source Tools'!$A$3:$A$206, "Not found")</f>
        <v>95</v>
      </c>
      <c r="B206" s="9" t="s">
        <v>1668</v>
      </c>
      <c r="C206" t="str">
        <f>INDEX('Open Source Tools'!D:D, MATCH(B206, 'Open Source Tools'!E:E, 0))</f>
        <v>Prosumer Aggregation Tools</v>
      </c>
      <c r="D206">
        <v>1</v>
      </c>
      <c r="E206">
        <v>1</v>
      </c>
      <c r="F206">
        <v>1</v>
      </c>
      <c r="G206">
        <v>1</v>
      </c>
      <c r="H206">
        <v>1</v>
      </c>
      <c r="I206">
        <v>1</v>
      </c>
      <c r="J206" s="187">
        <v>1</v>
      </c>
      <c r="K206">
        <v>5</v>
      </c>
      <c r="L206">
        <v>5</v>
      </c>
      <c r="M206">
        <v>1</v>
      </c>
      <c r="N206">
        <v>3</v>
      </c>
      <c r="O206" s="187">
        <v>3.6666666666666665</v>
      </c>
      <c r="P206">
        <v>4</v>
      </c>
      <c r="Q206">
        <v>1</v>
      </c>
      <c r="R206">
        <v>1</v>
      </c>
      <c r="S206">
        <v>1</v>
      </c>
      <c r="T206">
        <v>1</v>
      </c>
      <c r="U206">
        <v>1</v>
      </c>
      <c r="V206" s="188">
        <v>1.5</v>
      </c>
      <c r="W206">
        <v>1</v>
      </c>
      <c r="X206">
        <v>3</v>
      </c>
      <c r="Y206">
        <v>2</v>
      </c>
      <c r="Z206">
        <v>1</v>
      </c>
      <c r="AA206" s="188">
        <v>1.75</v>
      </c>
      <c r="AB206" s="337">
        <v>1.9833333333333334</v>
      </c>
      <c r="AC206" s="256">
        <v>2</v>
      </c>
    </row>
    <row r="207" spans="1:29" ht="16" x14ac:dyDescent="0.35">
      <c r="A207" s="102">
        <f>_xlfn.XLOOKUP(B207, 'Open Source Tools'!$E$3:$E$206, 'Open Source Tools'!$A$3:$A$206, "Not found")</f>
        <v>50</v>
      </c>
      <c r="B207" s="9" t="s">
        <v>1144</v>
      </c>
      <c r="C207" t="str">
        <f>INDEX('Open Source Tools'!D:D, MATCH(B207, 'Open Source Tools'!E:E, 0))</f>
        <v>AI-Powered Energy Forecasting</v>
      </c>
      <c r="D207">
        <v>2</v>
      </c>
      <c r="E207">
        <v>1</v>
      </c>
      <c r="F207">
        <v>2</v>
      </c>
      <c r="G207">
        <v>1</v>
      </c>
      <c r="H207">
        <v>1</v>
      </c>
      <c r="I207">
        <v>1</v>
      </c>
      <c r="J207" s="187">
        <v>1.25</v>
      </c>
      <c r="K207">
        <v>5</v>
      </c>
      <c r="L207">
        <v>5</v>
      </c>
      <c r="M207">
        <v>1</v>
      </c>
      <c r="N207">
        <v>1</v>
      </c>
      <c r="O207" s="187">
        <v>3.2222222222222223</v>
      </c>
      <c r="P207">
        <v>5</v>
      </c>
      <c r="Q207">
        <v>1</v>
      </c>
      <c r="R207" s="241">
        <v>1</v>
      </c>
      <c r="S207">
        <v>1</v>
      </c>
      <c r="T207">
        <v>1</v>
      </c>
      <c r="U207">
        <v>1</v>
      </c>
      <c r="V207" s="188">
        <v>1.6666666666666667</v>
      </c>
      <c r="W207">
        <v>1</v>
      </c>
      <c r="X207">
        <v>1</v>
      </c>
      <c r="Y207">
        <v>1</v>
      </c>
      <c r="Z207">
        <v>1</v>
      </c>
      <c r="AA207" s="188">
        <v>1</v>
      </c>
      <c r="AB207" s="337">
        <v>1.5819444444444444</v>
      </c>
      <c r="AC207" s="256">
        <v>2</v>
      </c>
    </row>
    <row r="208" spans="1:29" ht="16" x14ac:dyDescent="0.35">
      <c r="A208" s="102">
        <f>_xlfn.XLOOKUP(B208, 'Open Source Tools'!$E$3:$E$206, 'Open Source Tools'!$A$3:$A$206, "Not found")</f>
        <v>90</v>
      </c>
      <c r="B208" s="9" t="s">
        <v>1617</v>
      </c>
      <c r="C208" t="str">
        <f>INDEX('Open Source Tools'!D:D, MATCH(B208, 'Open Source Tools'!E:E, 0))</f>
        <v>Energy Pooling Platforms</v>
      </c>
      <c r="D208">
        <v>1</v>
      </c>
      <c r="E208">
        <v>1</v>
      </c>
      <c r="F208">
        <v>2</v>
      </c>
      <c r="G208">
        <v>1</v>
      </c>
      <c r="H208">
        <v>1</v>
      </c>
      <c r="I208">
        <v>1</v>
      </c>
      <c r="J208" s="187">
        <v>1.0833333333333333</v>
      </c>
      <c r="K208">
        <v>5</v>
      </c>
      <c r="L208">
        <v>3</v>
      </c>
      <c r="M208">
        <v>4</v>
      </c>
      <c r="N208">
        <v>1</v>
      </c>
      <c r="O208" s="187">
        <v>3.4444444444444446</v>
      </c>
      <c r="P208">
        <v>3</v>
      </c>
      <c r="Q208">
        <v>1</v>
      </c>
      <c r="R208" s="241">
        <v>1</v>
      </c>
      <c r="S208">
        <v>1</v>
      </c>
      <c r="T208">
        <v>1</v>
      </c>
      <c r="U208">
        <v>1</v>
      </c>
      <c r="V208" s="188">
        <v>1.3333333333333333</v>
      </c>
      <c r="W208">
        <v>1</v>
      </c>
      <c r="X208">
        <v>1</v>
      </c>
      <c r="Y208">
        <v>1</v>
      </c>
      <c r="Z208">
        <v>1</v>
      </c>
      <c r="AA208" s="188">
        <v>1</v>
      </c>
      <c r="AB208" s="337">
        <v>1.5513888888888889</v>
      </c>
      <c r="AC208" s="256">
        <v>2</v>
      </c>
    </row>
    <row r="209" spans="29:30" x14ac:dyDescent="0.35">
      <c r="AC209" s="195"/>
      <c r="AD209" s="193"/>
    </row>
    <row r="210" spans="29:30" x14ac:dyDescent="0.35">
      <c r="AC210" s="195"/>
      <c r="AD210" s="196"/>
    </row>
    <row r="211" spans="29:30" x14ac:dyDescent="0.35">
      <c r="AC211" s="197"/>
      <c r="AD211" s="196"/>
    </row>
    <row r="212" spans="29:30" x14ac:dyDescent="0.35">
      <c r="AC212" s="195"/>
      <c r="AD212" s="198"/>
    </row>
    <row r="213" spans="29:30" x14ac:dyDescent="0.35">
      <c r="AC213" s="195"/>
      <c r="AD213" s="194"/>
    </row>
    <row r="214" spans="29:30" x14ac:dyDescent="0.35">
      <c r="AD214" s="194"/>
    </row>
  </sheetData>
  <autoFilter ref="A4:AC208" xr:uid="{EF3EBEE9-BCF3-4022-B492-612D4DB28A16}">
    <filterColumn colId="2">
      <filters>
        <filter val="AI for Predictive Maintenance"/>
        <filter val="AI-Driven Energy Optimization"/>
        <filter val="AI-Powered Energy Forecasting"/>
        <filter val="Anomaly Detection in Energy Systems"/>
        <filter val="Automated Billing Platforms (Dynamic pricing Billing systems)"/>
        <filter val="Collaborative Decision-Making Platforms"/>
        <filter val="Community Energy Management Systems (CEMS)"/>
        <filter val="Community level Modelling"/>
        <filter val="Community-Based Energy Access Programs"/>
        <filter val="Data Visualization Tools"/>
        <filter val="Demand Response Systems"/>
        <filter val="DSO level modelling"/>
        <filter val="Dynamic Pricing Platform"/>
        <filter val="Energy Analytics Platforms"/>
        <filter val="Energy Dashboards"/>
        <filter val="Energy Pooling Platforms"/>
        <filter val="Energy Sharing Apps"/>
        <filter val="Energy System Simulation Tools (e.g., HOMER, PLEXOS)"/>
        <filter val="Energy Trading Tool"/>
        <filter val="Grid Balancing Tools"/>
        <filter val="Home Energy Management Systems (HEMS)"/>
        <filter val="Individual Unit modelling"/>
        <filter val="Machine Learning Algorithms"/>
        <filter val="Mobile Apps"/>
        <filter val="Peer-to-Peer (P2P) Energy Trading Platforms"/>
        <filter val="Real-Time Energy Monitoring Platforms"/>
        <filter val="Smart Charging Algorithms"/>
        <filter val="Virtual Power Plants (VPPs)"/>
        <filter val="Weather Forecasting Tools"/>
      </filters>
    </filterColumn>
    <sortState xmlns:xlrd2="http://schemas.microsoft.com/office/spreadsheetml/2017/richdata2" ref="A6:AC208">
      <sortCondition descending="1" ref="AB4:AB208"/>
    </sortState>
  </autoFilter>
  <mergeCells count="11">
    <mergeCell ref="AH4:AN4"/>
    <mergeCell ref="AG3:AN3"/>
    <mergeCell ref="A1:B3"/>
    <mergeCell ref="D1:J1"/>
    <mergeCell ref="K1:O1"/>
    <mergeCell ref="J2:J3"/>
    <mergeCell ref="O2:O3"/>
    <mergeCell ref="P1:V1"/>
    <mergeCell ref="V2:V3"/>
    <mergeCell ref="AA2:AA3"/>
    <mergeCell ref="W1:AA1"/>
  </mergeCells>
  <conditionalFormatting sqref="B5:B187 B204">
    <cfRule type="duplicateValues" dxfId="387" priority="109"/>
  </conditionalFormatting>
  <conditionalFormatting sqref="B188">
    <cfRule type="duplicateValues" dxfId="386" priority="13"/>
  </conditionalFormatting>
  <conditionalFormatting sqref="B189">
    <cfRule type="duplicateValues" dxfId="385" priority="12"/>
  </conditionalFormatting>
  <conditionalFormatting sqref="B190">
    <cfRule type="duplicateValues" dxfId="384" priority="11"/>
  </conditionalFormatting>
  <conditionalFormatting sqref="B191">
    <cfRule type="duplicateValues" dxfId="383" priority="10"/>
  </conditionalFormatting>
  <conditionalFormatting sqref="B192">
    <cfRule type="duplicateValues" dxfId="382" priority="9"/>
  </conditionalFormatting>
  <conditionalFormatting sqref="B193">
    <cfRule type="duplicateValues" dxfId="381" priority="14"/>
  </conditionalFormatting>
  <conditionalFormatting sqref="B194">
    <cfRule type="duplicateValues" dxfId="380" priority="8"/>
  </conditionalFormatting>
  <conditionalFormatting sqref="B195">
    <cfRule type="duplicateValues" dxfId="379" priority="5"/>
  </conditionalFormatting>
  <conditionalFormatting sqref="B196">
    <cfRule type="duplicateValues" dxfId="378" priority="4"/>
  </conditionalFormatting>
  <conditionalFormatting sqref="B197:B200">
    <cfRule type="duplicateValues" dxfId="377" priority="7"/>
  </conditionalFormatting>
  <conditionalFormatting sqref="B202:B203">
    <cfRule type="duplicateValues" dxfId="376" priority="6"/>
  </conditionalFormatting>
  <conditionalFormatting sqref="B205:B208">
    <cfRule type="duplicateValues" dxfId="375" priority="1"/>
    <cfRule type="duplicateValues" dxfId="374" priority="2"/>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65BFE-B69D-4098-813C-07DDD865674E}">
  <sheetPr>
    <tabColor theme="5" tint="0.39997558519241921"/>
  </sheetPr>
  <dimension ref="A1:AF83"/>
  <sheetViews>
    <sheetView zoomScale="51" zoomScaleNormal="91" workbookViewId="0">
      <selection activeCell="AD1" sqref="AD1:AD4"/>
    </sheetView>
  </sheetViews>
  <sheetFormatPr defaultRowHeight="14.5" x14ac:dyDescent="0.35"/>
  <cols>
    <col min="2" max="2" width="36.7265625" customWidth="1"/>
    <col min="3" max="3" width="18.26953125" customWidth="1"/>
    <col min="4" max="4" width="20.54296875" customWidth="1"/>
    <col min="7" max="7" width="13.81640625" customWidth="1"/>
    <col min="8" max="8" width="18" customWidth="1"/>
    <col min="9" max="9" width="21.7265625" customWidth="1"/>
    <col min="10" max="10" width="17.1796875" customWidth="1"/>
    <col min="11" max="11" width="8.7265625" style="11"/>
    <col min="12" max="12" width="13.1796875" customWidth="1"/>
    <col min="13" max="13" width="20.453125" bestFit="1" customWidth="1"/>
    <col min="14" max="14" width="21.26953125" bestFit="1" customWidth="1"/>
    <col min="15" max="15" width="30.26953125" bestFit="1" customWidth="1"/>
    <col min="16" max="16" width="8.7265625" style="11"/>
    <col min="17" max="17" width="17.1796875" customWidth="1"/>
    <col min="18" max="18" width="16.26953125" customWidth="1"/>
    <col min="19" max="19" width="23.26953125" customWidth="1"/>
    <col min="20" max="20" width="16.54296875" bestFit="1" customWidth="1"/>
    <col min="21" max="21" width="20.453125" customWidth="1"/>
    <col min="22" max="22" width="12.81640625" bestFit="1" customWidth="1"/>
    <col min="23" max="23" width="8.7265625" style="11"/>
    <col min="24" max="24" width="28" customWidth="1"/>
    <col min="25" max="25" width="27.81640625" customWidth="1"/>
    <col min="26" max="26" width="20" bestFit="1" customWidth="1"/>
    <col min="27" max="27" width="28.26953125" customWidth="1"/>
    <col min="28" max="28" width="10.453125" style="11" customWidth="1"/>
    <col min="29" max="29" width="19.453125" style="11" bestFit="1" customWidth="1"/>
    <col min="30" max="30" width="16.26953125" style="11" customWidth="1"/>
  </cols>
  <sheetData>
    <row r="1" spans="1:32" ht="26.5" customHeight="1" x14ac:dyDescent="0.35">
      <c r="A1" s="479"/>
      <c r="B1" s="479"/>
      <c r="C1" s="414"/>
      <c r="D1" s="166" t="s">
        <v>3109</v>
      </c>
      <c r="E1" s="481" t="s">
        <v>3278</v>
      </c>
      <c r="F1" s="482"/>
      <c r="G1" s="482"/>
      <c r="H1" s="482"/>
      <c r="I1" s="482"/>
      <c r="J1" s="482"/>
      <c r="K1" s="511"/>
      <c r="L1" s="484" t="s">
        <v>3375</v>
      </c>
      <c r="M1" s="485"/>
      <c r="N1" s="485"/>
      <c r="O1" s="485"/>
      <c r="P1" s="486"/>
      <c r="Q1" s="491" t="s">
        <v>3279</v>
      </c>
      <c r="R1" s="492"/>
      <c r="S1" s="492"/>
      <c r="T1" s="492"/>
      <c r="U1" s="492"/>
      <c r="V1" s="492"/>
      <c r="W1" s="493"/>
      <c r="X1" s="498" t="s">
        <v>3280</v>
      </c>
      <c r="Y1" s="499"/>
      <c r="Z1" s="499"/>
      <c r="AA1" s="499"/>
      <c r="AB1" s="499"/>
      <c r="AC1" s="506" t="s">
        <v>3160</v>
      </c>
      <c r="AD1" s="504" t="s">
        <v>3177</v>
      </c>
    </row>
    <row r="2" spans="1:32" x14ac:dyDescent="0.35">
      <c r="A2" s="479"/>
      <c r="B2" s="479"/>
      <c r="C2" s="414"/>
      <c r="D2" s="166" t="s">
        <v>3113</v>
      </c>
      <c r="E2" s="180" t="s">
        <v>3114</v>
      </c>
      <c r="F2" s="181" t="s">
        <v>3115</v>
      </c>
      <c r="G2" s="181" t="s">
        <v>3116</v>
      </c>
      <c r="H2" s="181" t="s">
        <v>3117</v>
      </c>
      <c r="I2" s="181" t="s">
        <v>3118</v>
      </c>
      <c r="J2" s="183" t="s">
        <v>3161</v>
      </c>
      <c r="K2" s="487" t="s">
        <v>3162</v>
      </c>
      <c r="L2" s="184" t="s">
        <v>501</v>
      </c>
      <c r="M2" s="182" t="s">
        <v>3119</v>
      </c>
      <c r="N2" s="182" t="s">
        <v>3120</v>
      </c>
      <c r="O2" s="182" t="s">
        <v>3121</v>
      </c>
      <c r="P2" s="489" t="s">
        <v>3162</v>
      </c>
      <c r="Q2" s="185" t="s">
        <v>3122</v>
      </c>
      <c r="R2" s="185" t="s">
        <v>3123</v>
      </c>
      <c r="S2" s="185" t="s">
        <v>3124</v>
      </c>
      <c r="T2" s="185" t="s">
        <v>3125</v>
      </c>
      <c r="U2" s="185" t="s">
        <v>3126</v>
      </c>
      <c r="V2" s="185" t="s">
        <v>3127</v>
      </c>
      <c r="W2" s="494" t="s">
        <v>3163</v>
      </c>
      <c r="X2" s="186" t="s">
        <v>3128</v>
      </c>
      <c r="Y2" s="186" t="s">
        <v>3129</v>
      </c>
      <c r="Z2" s="186" t="s">
        <v>3130</v>
      </c>
      <c r="AA2" s="186" t="s">
        <v>3131</v>
      </c>
      <c r="AB2" s="509" t="s">
        <v>3162</v>
      </c>
      <c r="AC2" s="507"/>
      <c r="AD2" s="504"/>
    </row>
    <row r="3" spans="1:32" ht="16" x14ac:dyDescent="0.4">
      <c r="A3" s="480"/>
      <c r="B3" s="480"/>
      <c r="C3" s="415"/>
      <c r="D3" s="189" t="s">
        <v>3164</v>
      </c>
      <c r="E3" s="97">
        <v>1</v>
      </c>
      <c r="F3" s="22">
        <v>1</v>
      </c>
      <c r="G3" s="22">
        <v>0.5</v>
      </c>
      <c r="H3" s="22">
        <v>1</v>
      </c>
      <c r="I3" s="22">
        <v>1</v>
      </c>
      <c r="J3" s="165">
        <v>1.5</v>
      </c>
      <c r="K3" s="488"/>
      <c r="L3" s="97">
        <v>1.5</v>
      </c>
      <c r="M3" s="22">
        <v>1</v>
      </c>
      <c r="N3" s="22">
        <v>1</v>
      </c>
      <c r="O3" s="22">
        <v>1</v>
      </c>
      <c r="P3" s="490"/>
      <c r="Q3" s="22">
        <v>1</v>
      </c>
      <c r="R3" s="22">
        <v>0.5</v>
      </c>
      <c r="S3" s="22">
        <v>1.5</v>
      </c>
      <c r="T3" s="22">
        <v>1</v>
      </c>
      <c r="U3" s="22">
        <v>1</v>
      </c>
      <c r="V3" s="22">
        <v>1</v>
      </c>
      <c r="W3" s="495"/>
      <c r="X3" s="22">
        <v>2.5</v>
      </c>
      <c r="Y3" s="22">
        <v>1.5</v>
      </c>
      <c r="Z3" s="22">
        <v>1.5</v>
      </c>
      <c r="AA3" s="22">
        <v>0.5</v>
      </c>
      <c r="AB3" s="510"/>
      <c r="AC3" s="507"/>
      <c r="AD3" s="504"/>
      <c r="AF3" s="151"/>
    </row>
    <row r="4" spans="1:32" ht="23.15" customHeight="1" x14ac:dyDescent="0.35">
      <c r="A4" s="190" t="s">
        <v>34</v>
      </c>
      <c r="B4" s="191" t="s">
        <v>3310</v>
      </c>
      <c r="C4" s="191" t="s">
        <v>3172</v>
      </c>
      <c r="D4" s="179" t="s">
        <v>3166</v>
      </c>
      <c r="E4" s="199" t="s">
        <v>3133</v>
      </c>
      <c r="F4" s="200" t="s">
        <v>3134</v>
      </c>
      <c r="G4" s="200" t="s">
        <v>3135</v>
      </c>
      <c r="H4" s="200" t="s">
        <v>3136</v>
      </c>
      <c r="I4" s="200" t="s">
        <v>3137</v>
      </c>
      <c r="J4" s="200" t="s">
        <v>3138</v>
      </c>
      <c r="K4" s="200" t="s">
        <v>3167</v>
      </c>
      <c r="L4" s="200" t="s">
        <v>3139</v>
      </c>
      <c r="M4" s="200" t="s">
        <v>3140</v>
      </c>
      <c r="N4" s="200" t="s">
        <v>3141</v>
      </c>
      <c r="O4" s="200" t="s">
        <v>3142</v>
      </c>
      <c r="P4" s="200" t="s">
        <v>3168</v>
      </c>
      <c r="Q4" s="200" t="s">
        <v>3143</v>
      </c>
      <c r="R4" s="200" t="s">
        <v>3144</v>
      </c>
      <c r="S4" s="200" t="s">
        <v>3145</v>
      </c>
      <c r="T4" s="200" t="s">
        <v>3146</v>
      </c>
      <c r="U4" s="200" t="s">
        <v>3147</v>
      </c>
      <c r="V4" s="200"/>
      <c r="W4" s="200" t="s">
        <v>3169</v>
      </c>
      <c r="X4" s="200" t="s">
        <v>3148</v>
      </c>
      <c r="Y4" s="200" t="s">
        <v>3149</v>
      </c>
      <c r="Z4" s="200" t="s">
        <v>3150</v>
      </c>
      <c r="AA4" s="200" t="s">
        <v>3151</v>
      </c>
      <c r="AB4" s="201" t="s">
        <v>3170</v>
      </c>
      <c r="AC4" s="508"/>
      <c r="AD4" s="505"/>
    </row>
    <row r="5" spans="1:32" ht="16" x14ac:dyDescent="0.35">
      <c r="A5" s="102">
        <f>_xlfn.XLOOKUP(B5, 'Open Source Tools'!$E$3:$E$206, 'Open Source Tools'!$A$3:$A$206, "Not found")</f>
        <v>62</v>
      </c>
      <c r="B5" s="9" t="s">
        <v>1276</v>
      </c>
      <c r="C5" t="s">
        <v>70</v>
      </c>
      <c r="D5" t="s">
        <v>281</v>
      </c>
      <c r="E5">
        <v>3</v>
      </c>
      <c r="F5">
        <v>2</v>
      </c>
      <c r="G5">
        <v>2</v>
      </c>
      <c r="H5">
        <v>3</v>
      </c>
      <c r="I5">
        <v>2</v>
      </c>
      <c r="J5">
        <v>1</v>
      </c>
      <c r="K5" s="187">
        <v>2.0833333333333335</v>
      </c>
      <c r="L5">
        <v>5</v>
      </c>
      <c r="M5">
        <v>4</v>
      </c>
      <c r="N5">
        <v>4</v>
      </c>
      <c r="O5">
        <v>5</v>
      </c>
      <c r="P5" s="187">
        <v>4.5555555555555554</v>
      </c>
      <c r="Q5">
        <v>4</v>
      </c>
      <c r="R5">
        <v>1</v>
      </c>
      <c r="S5">
        <v>2</v>
      </c>
      <c r="T5">
        <v>1</v>
      </c>
      <c r="U5">
        <v>1</v>
      </c>
      <c r="V5">
        <v>2</v>
      </c>
      <c r="W5" s="188">
        <v>1.9166666666666667</v>
      </c>
      <c r="X5">
        <v>5</v>
      </c>
      <c r="Y5">
        <v>5</v>
      </c>
      <c r="Z5">
        <v>3</v>
      </c>
      <c r="AA5">
        <v>4</v>
      </c>
      <c r="AB5" s="187">
        <v>4.416666666666667</v>
      </c>
      <c r="AC5" s="160">
        <v>3.7194444444444446</v>
      </c>
      <c r="AD5" s="257">
        <v>7</v>
      </c>
    </row>
    <row r="6" spans="1:32" ht="16" x14ac:dyDescent="0.35">
      <c r="A6" s="102">
        <f>_xlfn.XLOOKUP(B6, 'Open Source Tools'!$E$3:$E$206, 'Open Source Tools'!$A$3:$A$206, "Not found")</f>
        <v>63</v>
      </c>
      <c r="B6" s="9" t="s">
        <v>1291</v>
      </c>
      <c r="C6" t="s">
        <v>70</v>
      </c>
      <c r="D6" t="s">
        <v>281</v>
      </c>
      <c r="E6">
        <v>3</v>
      </c>
      <c r="F6">
        <v>3</v>
      </c>
      <c r="G6">
        <v>2</v>
      </c>
      <c r="H6">
        <v>2</v>
      </c>
      <c r="I6">
        <v>2</v>
      </c>
      <c r="J6">
        <v>2</v>
      </c>
      <c r="K6" s="187">
        <v>2.3333333333333335</v>
      </c>
      <c r="L6">
        <v>5</v>
      </c>
      <c r="M6">
        <v>4</v>
      </c>
      <c r="N6">
        <v>1</v>
      </c>
      <c r="O6">
        <v>3</v>
      </c>
      <c r="P6" s="187">
        <v>3.4444444444444446</v>
      </c>
      <c r="Q6">
        <v>5</v>
      </c>
      <c r="R6">
        <v>2</v>
      </c>
      <c r="S6">
        <v>4</v>
      </c>
      <c r="T6">
        <v>1</v>
      </c>
      <c r="U6">
        <v>1</v>
      </c>
      <c r="V6">
        <v>1</v>
      </c>
      <c r="W6" s="188">
        <v>2.5</v>
      </c>
      <c r="X6">
        <v>1</v>
      </c>
      <c r="Y6">
        <v>5</v>
      </c>
      <c r="Z6">
        <v>2</v>
      </c>
      <c r="AA6">
        <v>1</v>
      </c>
      <c r="AB6" s="187">
        <v>2.25</v>
      </c>
      <c r="AC6" s="160">
        <v>2.5388888888888888</v>
      </c>
      <c r="AD6" s="258">
        <v>4</v>
      </c>
    </row>
    <row r="7" spans="1:32" ht="16" x14ac:dyDescent="0.35">
      <c r="A7" s="102">
        <f>_xlfn.XLOOKUP(B7, 'Open Source Tools'!$E$3:$E$206, 'Open Source Tools'!$A$3:$A$206, "Not found")</f>
        <v>57</v>
      </c>
      <c r="B7" s="9" t="s">
        <v>1221</v>
      </c>
      <c r="C7" t="s">
        <v>70</v>
      </c>
      <c r="D7" t="s">
        <v>275</v>
      </c>
      <c r="E7">
        <v>2</v>
      </c>
      <c r="F7">
        <v>2</v>
      </c>
      <c r="G7">
        <v>2</v>
      </c>
      <c r="H7">
        <v>1</v>
      </c>
      <c r="I7">
        <v>1</v>
      </c>
      <c r="J7">
        <v>2</v>
      </c>
      <c r="K7" s="187">
        <v>1.6666666666666667</v>
      </c>
      <c r="L7">
        <v>5</v>
      </c>
      <c r="M7">
        <v>5</v>
      </c>
      <c r="N7">
        <v>4</v>
      </c>
      <c r="O7">
        <v>5</v>
      </c>
      <c r="P7" s="187">
        <v>4.7777777777777777</v>
      </c>
      <c r="Q7">
        <v>3</v>
      </c>
      <c r="R7">
        <v>1</v>
      </c>
      <c r="S7">
        <v>2</v>
      </c>
      <c r="T7">
        <v>5</v>
      </c>
      <c r="U7">
        <v>5</v>
      </c>
      <c r="V7">
        <v>3</v>
      </c>
      <c r="W7" s="188">
        <v>3.25</v>
      </c>
      <c r="X7">
        <v>3</v>
      </c>
      <c r="Y7">
        <v>3</v>
      </c>
      <c r="Z7">
        <v>3</v>
      </c>
      <c r="AA7">
        <v>3</v>
      </c>
      <c r="AB7" s="187">
        <v>3</v>
      </c>
      <c r="AC7" s="160">
        <v>3.1930555555555555</v>
      </c>
      <c r="AD7" s="258">
        <v>6</v>
      </c>
    </row>
    <row r="8" spans="1:32" ht="16" x14ac:dyDescent="0.35">
      <c r="A8" s="102">
        <f>_xlfn.XLOOKUP(B8, 'Open Source Tools'!$E$3:$E$206, 'Open Source Tools'!$A$3:$A$206, "Not found")</f>
        <v>47</v>
      </c>
      <c r="B8" s="9" t="s">
        <v>1101</v>
      </c>
      <c r="C8" t="s">
        <v>70</v>
      </c>
      <c r="D8" t="s">
        <v>269</v>
      </c>
      <c r="E8">
        <v>3</v>
      </c>
      <c r="F8">
        <v>2</v>
      </c>
      <c r="G8">
        <v>2</v>
      </c>
      <c r="H8">
        <v>3</v>
      </c>
      <c r="I8">
        <v>3</v>
      </c>
      <c r="J8">
        <v>4</v>
      </c>
      <c r="K8" s="187">
        <v>3</v>
      </c>
      <c r="L8">
        <v>5</v>
      </c>
      <c r="M8">
        <v>4</v>
      </c>
      <c r="N8">
        <v>4</v>
      </c>
      <c r="O8">
        <v>5</v>
      </c>
      <c r="P8" s="187">
        <v>4.5555555555555554</v>
      </c>
      <c r="Q8">
        <v>4</v>
      </c>
      <c r="R8">
        <v>2</v>
      </c>
      <c r="S8">
        <v>4</v>
      </c>
      <c r="T8">
        <v>5</v>
      </c>
      <c r="U8">
        <v>5</v>
      </c>
      <c r="V8">
        <v>3</v>
      </c>
      <c r="W8" s="188">
        <v>4</v>
      </c>
      <c r="X8">
        <v>5</v>
      </c>
      <c r="Y8">
        <v>5</v>
      </c>
      <c r="Z8">
        <v>3</v>
      </c>
      <c r="AA8">
        <v>4</v>
      </c>
      <c r="AB8" s="187">
        <v>4.416666666666667</v>
      </c>
      <c r="AC8" s="160">
        <v>4.1694444444444443</v>
      </c>
      <c r="AD8" s="258">
        <v>8</v>
      </c>
    </row>
    <row r="9" spans="1:32" ht="16" x14ac:dyDescent="0.35">
      <c r="A9" s="102">
        <f>_xlfn.XLOOKUP(B9, 'Open Source Tools'!$E$3:$E$206, 'Open Source Tools'!$A$3:$A$206, "Not found")</f>
        <v>48</v>
      </c>
      <c r="B9" s="9" t="s">
        <v>1116</v>
      </c>
      <c r="C9" t="s">
        <v>70</v>
      </c>
      <c r="D9" t="s">
        <v>269</v>
      </c>
      <c r="E9">
        <v>1</v>
      </c>
      <c r="F9">
        <v>1</v>
      </c>
      <c r="G9">
        <v>1</v>
      </c>
      <c r="H9">
        <v>1</v>
      </c>
      <c r="I9">
        <v>1</v>
      </c>
      <c r="J9">
        <v>1</v>
      </c>
      <c r="K9" s="187">
        <v>1</v>
      </c>
      <c r="L9">
        <v>5</v>
      </c>
      <c r="M9">
        <v>5</v>
      </c>
      <c r="N9">
        <v>5</v>
      </c>
      <c r="O9">
        <v>5</v>
      </c>
      <c r="P9" s="187">
        <v>5</v>
      </c>
      <c r="Q9">
        <v>5</v>
      </c>
      <c r="R9">
        <v>1</v>
      </c>
      <c r="S9">
        <v>1</v>
      </c>
      <c r="T9">
        <v>1</v>
      </c>
      <c r="U9">
        <v>1</v>
      </c>
      <c r="V9">
        <v>1</v>
      </c>
      <c r="W9" s="188">
        <v>1.6666666666666667</v>
      </c>
      <c r="X9">
        <v>3</v>
      </c>
      <c r="Y9">
        <v>5</v>
      </c>
      <c r="Z9">
        <v>3</v>
      </c>
      <c r="AA9">
        <v>1</v>
      </c>
      <c r="AB9" s="187">
        <v>3.3333333333333335</v>
      </c>
      <c r="AC9" s="160">
        <v>3.0666666666666664</v>
      </c>
      <c r="AD9" s="258">
        <v>6</v>
      </c>
    </row>
    <row r="10" spans="1:32" ht="16" x14ac:dyDescent="0.35">
      <c r="A10" s="102">
        <f>_xlfn.XLOOKUP(B10, 'Open Source Tools'!$E$3:$E$206, 'Open Source Tools'!$A$3:$A$206, "Not found")</f>
        <v>49</v>
      </c>
      <c r="B10" s="9" t="s">
        <v>1130</v>
      </c>
      <c r="C10" t="s">
        <v>70</v>
      </c>
      <c r="D10" t="s">
        <v>269</v>
      </c>
      <c r="E10">
        <v>2</v>
      </c>
      <c r="F10">
        <v>1</v>
      </c>
      <c r="G10">
        <v>1</v>
      </c>
      <c r="H10">
        <v>1</v>
      </c>
      <c r="I10">
        <v>1</v>
      </c>
      <c r="J10">
        <v>4</v>
      </c>
      <c r="K10" s="187">
        <v>1.9166666666666667</v>
      </c>
      <c r="L10">
        <v>5</v>
      </c>
      <c r="M10">
        <v>4</v>
      </c>
      <c r="N10">
        <v>4</v>
      </c>
      <c r="O10">
        <v>3</v>
      </c>
      <c r="P10" s="187">
        <v>4.1111111111111107</v>
      </c>
      <c r="Q10">
        <v>2</v>
      </c>
      <c r="R10">
        <v>1</v>
      </c>
      <c r="S10">
        <v>1</v>
      </c>
      <c r="T10">
        <v>5</v>
      </c>
      <c r="U10">
        <v>5</v>
      </c>
      <c r="V10">
        <v>2</v>
      </c>
      <c r="W10" s="188">
        <v>2.6666666666666665</v>
      </c>
      <c r="X10">
        <v>1</v>
      </c>
      <c r="Y10">
        <v>3</v>
      </c>
      <c r="Z10">
        <v>1</v>
      </c>
      <c r="AA10">
        <v>1</v>
      </c>
      <c r="AB10" s="187">
        <v>1.5</v>
      </c>
      <c r="AC10" s="160">
        <v>2.259722222222222</v>
      </c>
      <c r="AD10" s="258">
        <v>3</v>
      </c>
    </row>
    <row r="11" spans="1:32" ht="16" x14ac:dyDescent="0.35">
      <c r="A11" s="102">
        <f>_xlfn.XLOOKUP(B11, 'Open Source Tools'!$E$3:$E$206, 'Open Source Tools'!$A$3:$A$206, "Not found")</f>
        <v>61</v>
      </c>
      <c r="B11" s="9" t="s">
        <v>1266</v>
      </c>
      <c r="C11" t="s">
        <v>70</v>
      </c>
      <c r="D11" t="s">
        <v>278</v>
      </c>
      <c r="E11">
        <v>4</v>
      </c>
      <c r="F11">
        <v>3</v>
      </c>
      <c r="G11">
        <v>3</v>
      </c>
      <c r="H11">
        <v>4</v>
      </c>
      <c r="I11">
        <v>4</v>
      </c>
      <c r="J11">
        <v>4</v>
      </c>
      <c r="K11" s="187">
        <v>3.75</v>
      </c>
      <c r="L11">
        <v>5</v>
      </c>
      <c r="M11">
        <v>5</v>
      </c>
      <c r="N11">
        <v>3</v>
      </c>
      <c r="O11">
        <v>5</v>
      </c>
      <c r="P11" s="187">
        <v>4.5555555555555554</v>
      </c>
      <c r="Q11">
        <v>3</v>
      </c>
      <c r="R11">
        <v>3</v>
      </c>
      <c r="S11">
        <v>4</v>
      </c>
      <c r="T11">
        <v>5</v>
      </c>
      <c r="U11">
        <v>5</v>
      </c>
      <c r="V11">
        <v>2</v>
      </c>
      <c r="W11" s="188">
        <v>3.75</v>
      </c>
      <c r="X11">
        <v>3</v>
      </c>
      <c r="Y11">
        <v>5</v>
      </c>
      <c r="Z11">
        <v>3</v>
      </c>
      <c r="AA11">
        <v>1</v>
      </c>
      <c r="AB11" s="187">
        <v>3.3333333333333335</v>
      </c>
      <c r="AC11" s="160">
        <v>3.7027777777777775</v>
      </c>
      <c r="AD11" s="258">
        <v>7</v>
      </c>
    </row>
    <row r="12" spans="1:32" ht="16" x14ac:dyDescent="0.35">
      <c r="A12" s="102">
        <f>_xlfn.XLOOKUP(B12, 'Open Source Tools'!$E$3:$E$206, 'Open Source Tools'!$A$3:$A$206, "Not found")</f>
        <v>60</v>
      </c>
      <c r="B12" s="9" t="s">
        <v>1254</v>
      </c>
      <c r="C12" t="s">
        <v>70</v>
      </c>
      <c r="D12" t="s">
        <v>278</v>
      </c>
      <c r="E12">
        <v>2</v>
      </c>
      <c r="F12">
        <v>1</v>
      </c>
      <c r="G12">
        <v>2</v>
      </c>
      <c r="H12">
        <v>2</v>
      </c>
      <c r="I12">
        <v>2</v>
      </c>
      <c r="J12">
        <v>4</v>
      </c>
      <c r="K12" s="187">
        <v>2.3333333333333335</v>
      </c>
      <c r="L12">
        <v>5</v>
      </c>
      <c r="M12">
        <v>5</v>
      </c>
      <c r="N12">
        <v>2</v>
      </c>
      <c r="O12">
        <v>5</v>
      </c>
      <c r="P12" s="187">
        <v>4.333333333333333</v>
      </c>
      <c r="Q12">
        <v>3</v>
      </c>
      <c r="R12">
        <v>2</v>
      </c>
      <c r="S12">
        <v>4</v>
      </c>
      <c r="T12">
        <v>5</v>
      </c>
      <c r="U12">
        <v>5</v>
      </c>
      <c r="V12">
        <v>2</v>
      </c>
      <c r="W12" s="188">
        <v>3.6666666666666665</v>
      </c>
      <c r="X12">
        <v>3</v>
      </c>
      <c r="Y12">
        <v>3</v>
      </c>
      <c r="Z12">
        <v>3</v>
      </c>
      <c r="AA12">
        <v>1</v>
      </c>
      <c r="AB12" s="187">
        <v>2.8333333333333335</v>
      </c>
      <c r="AC12" s="160">
        <v>3.1833333333333336</v>
      </c>
      <c r="AD12" s="258">
        <v>6</v>
      </c>
    </row>
    <row r="13" spans="1:32" ht="16" x14ac:dyDescent="0.35">
      <c r="A13" s="102">
        <f>_xlfn.XLOOKUP(B13, 'Open Source Tools'!$E$3:$E$206, 'Open Source Tools'!$A$3:$A$206, "Not found")</f>
        <v>59</v>
      </c>
      <c r="B13" s="9" t="s">
        <v>1247</v>
      </c>
      <c r="C13" t="s">
        <v>70</v>
      </c>
      <c r="D13" t="s">
        <v>278</v>
      </c>
      <c r="E13">
        <v>2</v>
      </c>
      <c r="F13">
        <v>1</v>
      </c>
      <c r="G13">
        <v>1</v>
      </c>
      <c r="H13">
        <v>2</v>
      </c>
      <c r="I13">
        <v>2</v>
      </c>
      <c r="J13">
        <v>1</v>
      </c>
      <c r="K13" s="187">
        <v>1.5</v>
      </c>
      <c r="L13">
        <v>5</v>
      </c>
      <c r="M13">
        <v>3</v>
      </c>
      <c r="N13">
        <v>5</v>
      </c>
      <c r="O13">
        <v>3</v>
      </c>
      <c r="P13" s="187">
        <v>4.1111111111111107</v>
      </c>
      <c r="Q13">
        <v>5</v>
      </c>
      <c r="R13">
        <v>1</v>
      </c>
      <c r="S13">
        <v>1</v>
      </c>
      <c r="T13">
        <v>5</v>
      </c>
      <c r="U13">
        <v>5</v>
      </c>
      <c r="V13">
        <v>3</v>
      </c>
      <c r="W13" s="188">
        <v>3.3333333333333335</v>
      </c>
      <c r="X13">
        <v>1</v>
      </c>
      <c r="Y13">
        <v>1</v>
      </c>
      <c r="Z13">
        <v>1</v>
      </c>
      <c r="AA13">
        <v>1</v>
      </c>
      <c r="AB13" s="187">
        <v>1</v>
      </c>
      <c r="AC13" s="160">
        <v>2.0472222222222221</v>
      </c>
      <c r="AD13" s="258">
        <v>3</v>
      </c>
    </row>
    <row r="14" spans="1:32" ht="16" x14ac:dyDescent="0.35">
      <c r="A14" s="102">
        <f>_xlfn.XLOOKUP(B14, 'Open Source Tools'!$E$3:$E$206, 'Open Source Tools'!$A$3:$A$206, "Not found")</f>
        <v>53</v>
      </c>
      <c r="B14" s="9" t="s">
        <v>1177</v>
      </c>
      <c r="C14" t="s">
        <v>70</v>
      </c>
      <c r="D14" t="s">
        <v>272</v>
      </c>
      <c r="E14">
        <v>5</v>
      </c>
      <c r="F14">
        <v>5</v>
      </c>
      <c r="G14">
        <v>5</v>
      </c>
      <c r="H14">
        <v>5</v>
      </c>
      <c r="I14">
        <v>5</v>
      </c>
      <c r="J14">
        <v>4</v>
      </c>
      <c r="K14" s="187">
        <v>4.75</v>
      </c>
      <c r="L14">
        <v>5</v>
      </c>
      <c r="M14">
        <v>2</v>
      </c>
      <c r="N14">
        <v>4</v>
      </c>
      <c r="O14">
        <v>5</v>
      </c>
      <c r="P14" s="187">
        <v>4.1111111111111107</v>
      </c>
      <c r="Q14">
        <v>3</v>
      </c>
      <c r="R14">
        <v>5</v>
      </c>
      <c r="S14">
        <v>4</v>
      </c>
      <c r="T14">
        <v>5</v>
      </c>
      <c r="U14">
        <v>5</v>
      </c>
      <c r="V14">
        <v>5</v>
      </c>
      <c r="W14" s="188">
        <v>4.416666666666667</v>
      </c>
      <c r="X14">
        <v>5</v>
      </c>
      <c r="Y14">
        <v>5</v>
      </c>
      <c r="Z14">
        <v>5</v>
      </c>
      <c r="AA14">
        <v>5</v>
      </c>
      <c r="AB14" s="187">
        <v>5</v>
      </c>
      <c r="AC14" s="160">
        <v>4.6972222222222229</v>
      </c>
      <c r="AD14" s="258">
        <v>9</v>
      </c>
    </row>
    <row r="15" spans="1:32" ht="16" x14ac:dyDescent="0.35">
      <c r="A15" s="102">
        <f>_xlfn.XLOOKUP(B15, 'Open Source Tools'!$E$3:$E$206, 'Open Source Tools'!$A$3:$A$206, "Not found")</f>
        <v>54</v>
      </c>
      <c r="B15" s="9" t="s">
        <v>1189</v>
      </c>
      <c r="C15" t="s">
        <v>70</v>
      </c>
      <c r="D15" t="s">
        <v>272</v>
      </c>
      <c r="E15">
        <v>3</v>
      </c>
      <c r="F15">
        <v>2</v>
      </c>
      <c r="G15">
        <v>1</v>
      </c>
      <c r="H15">
        <v>2</v>
      </c>
      <c r="I15">
        <v>2</v>
      </c>
      <c r="J15">
        <v>3</v>
      </c>
      <c r="K15" s="187">
        <v>2.3333333333333335</v>
      </c>
      <c r="L15">
        <v>5</v>
      </c>
      <c r="M15">
        <v>5</v>
      </c>
      <c r="N15">
        <v>4</v>
      </c>
      <c r="O15">
        <v>5</v>
      </c>
      <c r="P15" s="187">
        <v>4.7777777777777777</v>
      </c>
      <c r="Q15">
        <v>4</v>
      </c>
      <c r="R15">
        <v>2</v>
      </c>
      <c r="S15">
        <v>4</v>
      </c>
      <c r="T15">
        <v>5</v>
      </c>
      <c r="U15">
        <v>5</v>
      </c>
      <c r="V15">
        <v>3</v>
      </c>
      <c r="W15" s="188">
        <v>4</v>
      </c>
      <c r="X15">
        <v>1</v>
      </c>
      <c r="Y15">
        <v>5</v>
      </c>
      <c r="Z15">
        <v>3</v>
      </c>
      <c r="AA15">
        <v>1</v>
      </c>
      <c r="AB15" s="187">
        <v>2.5</v>
      </c>
      <c r="AC15" s="160">
        <v>3.1555555555555554</v>
      </c>
      <c r="AD15" s="258">
        <v>6</v>
      </c>
    </row>
    <row r="16" spans="1:32" ht="16" x14ac:dyDescent="0.35">
      <c r="A16" s="102">
        <f>_xlfn.XLOOKUP(B16, 'Open Source Tools'!$E$3:$E$206, 'Open Source Tools'!$A$3:$A$206, "Not found")</f>
        <v>52</v>
      </c>
      <c r="B16" s="9" t="s">
        <v>1167</v>
      </c>
      <c r="C16" t="s">
        <v>70</v>
      </c>
      <c r="D16" t="s">
        <v>272</v>
      </c>
      <c r="E16">
        <v>2</v>
      </c>
      <c r="F16">
        <v>2</v>
      </c>
      <c r="G16">
        <v>2</v>
      </c>
      <c r="H16">
        <v>1</v>
      </c>
      <c r="I16">
        <v>1</v>
      </c>
      <c r="J16">
        <v>1</v>
      </c>
      <c r="K16" s="187">
        <v>1.4166666666666667</v>
      </c>
      <c r="L16">
        <v>5</v>
      </c>
      <c r="M16">
        <v>5</v>
      </c>
      <c r="N16">
        <v>1</v>
      </c>
      <c r="O16">
        <v>1</v>
      </c>
      <c r="P16" s="187">
        <v>3.2222222222222223</v>
      </c>
      <c r="Q16">
        <v>4</v>
      </c>
      <c r="R16">
        <v>1</v>
      </c>
      <c r="S16">
        <v>3</v>
      </c>
      <c r="T16">
        <v>1</v>
      </c>
      <c r="U16">
        <v>1</v>
      </c>
      <c r="V16">
        <v>1</v>
      </c>
      <c r="W16" s="188">
        <v>2</v>
      </c>
      <c r="X16">
        <v>1</v>
      </c>
      <c r="Y16">
        <v>3</v>
      </c>
      <c r="Z16">
        <v>3</v>
      </c>
      <c r="AA16">
        <v>1</v>
      </c>
      <c r="AB16" s="187">
        <v>2</v>
      </c>
      <c r="AC16" s="160">
        <v>2.1569444444444446</v>
      </c>
      <c r="AD16" s="258">
        <v>3</v>
      </c>
    </row>
    <row r="17" spans="1:30" ht="16" x14ac:dyDescent="0.35">
      <c r="A17" s="102">
        <f>_xlfn.XLOOKUP(B17, 'Open Source Tools'!$E$3:$E$206, 'Open Source Tools'!$A$3:$A$206, "Not found")</f>
        <v>36</v>
      </c>
      <c r="B17" s="9" t="s">
        <v>958</v>
      </c>
      <c r="C17" t="s">
        <v>57</v>
      </c>
      <c r="D17" t="s">
        <v>188</v>
      </c>
      <c r="E17">
        <v>5</v>
      </c>
      <c r="F17">
        <v>5</v>
      </c>
      <c r="G17">
        <v>5</v>
      </c>
      <c r="H17">
        <v>5</v>
      </c>
      <c r="I17">
        <v>5</v>
      </c>
      <c r="J17">
        <v>4</v>
      </c>
      <c r="K17" s="187">
        <v>4.75</v>
      </c>
      <c r="L17">
        <v>5</v>
      </c>
      <c r="M17">
        <v>3</v>
      </c>
      <c r="N17">
        <v>5</v>
      </c>
      <c r="O17">
        <v>5</v>
      </c>
      <c r="P17" s="187">
        <v>4.5555555555555554</v>
      </c>
      <c r="Q17">
        <v>3</v>
      </c>
      <c r="R17">
        <v>5</v>
      </c>
      <c r="S17">
        <v>5</v>
      </c>
      <c r="T17">
        <v>5</v>
      </c>
      <c r="U17">
        <v>5</v>
      </c>
      <c r="V17">
        <v>5</v>
      </c>
      <c r="W17" s="188">
        <v>4.666666666666667</v>
      </c>
      <c r="X17">
        <v>5</v>
      </c>
      <c r="Y17">
        <v>5</v>
      </c>
      <c r="Z17">
        <v>5</v>
      </c>
      <c r="AA17">
        <v>4</v>
      </c>
      <c r="AB17" s="187">
        <v>4.916666666666667</v>
      </c>
      <c r="AC17" s="160">
        <v>4.781944444444445</v>
      </c>
      <c r="AD17" s="258">
        <v>9</v>
      </c>
    </row>
    <row r="18" spans="1:30" ht="16" x14ac:dyDescent="0.4">
      <c r="A18" s="102">
        <f>_xlfn.XLOOKUP(B18, 'Open Source Tools'!$E$3:$E$206, 'Open Source Tools'!$A$3:$A$206, "Not found")</f>
        <v>27</v>
      </c>
      <c r="B18" s="151" t="s">
        <v>838</v>
      </c>
      <c r="C18" t="s">
        <v>57</v>
      </c>
      <c r="D18" t="s">
        <v>188</v>
      </c>
      <c r="E18">
        <v>2</v>
      </c>
      <c r="F18">
        <v>2</v>
      </c>
      <c r="G18">
        <v>2</v>
      </c>
      <c r="H18">
        <v>4</v>
      </c>
      <c r="I18">
        <v>2</v>
      </c>
      <c r="J18">
        <v>4</v>
      </c>
      <c r="K18" s="187">
        <v>2.8333333333333335</v>
      </c>
      <c r="L18">
        <v>5</v>
      </c>
      <c r="M18">
        <v>5</v>
      </c>
      <c r="N18">
        <v>4</v>
      </c>
      <c r="O18">
        <v>5</v>
      </c>
      <c r="P18" s="187">
        <v>4.7777777777777777</v>
      </c>
      <c r="Q18">
        <v>3</v>
      </c>
      <c r="R18">
        <v>2</v>
      </c>
      <c r="S18">
        <v>4</v>
      </c>
      <c r="T18">
        <v>5</v>
      </c>
      <c r="U18">
        <v>5</v>
      </c>
      <c r="V18">
        <v>4</v>
      </c>
      <c r="W18" s="188">
        <v>4</v>
      </c>
      <c r="X18">
        <v>5</v>
      </c>
      <c r="Y18">
        <v>5</v>
      </c>
      <c r="Z18">
        <v>2</v>
      </c>
      <c r="AA18">
        <v>2</v>
      </c>
      <c r="AB18" s="187">
        <v>4</v>
      </c>
      <c r="AC18" s="160">
        <v>3.9805555555555556</v>
      </c>
      <c r="AD18" s="258">
        <v>7</v>
      </c>
    </row>
    <row r="19" spans="1:30" ht="16" x14ac:dyDescent="0.35">
      <c r="A19" s="102">
        <f>_xlfn.XLOOKUP(B19, 'Open Source Tools'!$E$3:$E$206, 'Open Source Tools'!$A$3:$A$206, "Not found")</f>
        <v>26</v>
      </c>
      <c r="B19" s="9" t="s">
        <v>3215</v>
      </c>
      <c r="C19" t="s">
        <v>57</v>
      </c>
      <c r="D19" t="s">
        <v>188</v>
      </c>
      <c r="E19">
        <v>1</v>
      </c>
      <c r="F19">
        <v>1</v>
      </c>
      <c r="G19">
        <v>1</v>
      </c>
      <c r="H19">
        <v>2</v>
      </c>
      <c r="I19">
        <v>1</v>
      </c>
      <c r="J19">
        <v>3</v>
      </c>
      <c r="K19" s="187">
        <v>1.6666666666666667</v>
      </c>
      <c r="L19">
        <v>5</v>
      </c>
      <c r="M19">
        <v>5</v>
      </c>
      <c r="N19">
        <v>4</v>
      </c>
      <c r="O19">
        <v>5</v>
      </c>
      <c r="P19" s="187">
        <v>4.7777777777777777</v>
      </c>
      <c r="Q19">
        <v>3</v>
      </c>
      <c r="R19">
        <v>2</v>
      </c>
      <c r="S19">
        <v>4</v>
      </c>
      <c r="T19">
        <v>5</v>
      </c>
      <c r="U19">
        <v>5</v>
      </c>
      <c r="V19">
        <v>1</v>
      </c>
      <c r="W19" s="188">
        <v>3.5</v>
      </c>
      <c r="X19">
        <v>3</v>
      </c>
      <c r="Y19">
        <v>5</v>
      </c>
      <c r="Z19">
        <v>2</v>
      </c>
      <c r="AA19">
        <v>2</v>
      </c>
      <c r="AB19" s="187">
        <v>3.1666666666666665</v>
      </c>
      <c r="AC19" s="160">
        <v>3.3138888888888891</v>
      </c>
      <c r="AD19" s="258">
        <v>6</v>
      </c>
    </row>
    <row r="20" spans="1:30" ht="16" x14ac:dyDescent="0.35">
      <c r="A20" s="102">
        <f>_xlfn.XLOOKUP(B20, 'Open Source Tools'!$E$3:$E$206, 'Open Source Tools'!$A$3:$A$206, "Not found")</f>
        <v>74</v>
      </c>
      <c r="B20" s="9" t="s">
        <v>1423</v>
      </c>
      <c r="C20" t="s">
        <v>74</v>
      </c>
      <c r="D20" t="s">
        <v>3247</v>
      </c>
      <c r="E20">
        <v>5</v>
      </c>
      <c r="F20">
        <v>5</v>
      </c>
      <c r="G20">
        <v>5</v>
      </c>
      <c r="H20">
        <v>5</v>
      </c>
      <c r="I20">
        <v>5</v>
      </c>
      <c r="J20">
        <v>4</v>
      </c>
      <c r="K20" s="187">
        <v>4.75</v>
      </c>
      <c r="L20">
        <v>5</v>
      </c>
      <c r="M20">
        <v>2</v>
      </c>
      <c r="N20">
        <v>5</v>
      </c>
      <c r="O20">
        <v>5</v>
      </c>
      <c r="P20" s="187">
        <v>4.333333333333333</v>
      </c>
      <c r="Q20">
        <v>4</v>
      </c>
      <c r="R20">
        <v>5</v>
      </c>
      <c r="S20">
        <v>5</v>
      </c>
      <c r="T20">
        <v>5</v>
      </c>
      <c r="U20">
        <v>5</v>
      </c>
      <c r="V20">
        <v>5</v>
      </c>
      <c r="W20" s="188">
        <v>4.833333333333333</v>
      </c>
      <c r="X20">
        <v>5</v>
      </c>
      <c r="Y20">
        <v>5</v>
      </c>
      <c r="Z20">
        <v>4</v>
      </c>
      <c r="AA20">
        <v>4</v>
      </c>
      <c r="AB20" s="187">
        <v>4.666666666666667</v>
      </c>
      <c r="AC20" s="160">
        <v>4.6375000000000002</v>
      </c>
      <c r="AD20" s="258">
        <v>9</v>
      </c>
    </row>
    <row r="21" spans="1:30" ht="16" x14ac:dyDescent="0.35">
      <c r="A21" s="102">
        <f>_xlfn.XLOOKUP(B21, 'Open Source Tools'!$E$3:$E$206, 'Open Source Tools'!$A$3:$A$206, "Not found")</f>
        <v>76</v>
      </c>
      <c r="B21" s="9" t="s">
        <v>1447</v>
      </c>
      <c r="C21" t="s">
        <v>74</v>
      </c>
      <c r="D21" t="s">
        <v>3247</v>
      </c>
      <c r="E21">
        <v>5</v>
      </c>
      <c r="F21">
        <v>4</v>
      </c>
      <c r="G21">
        <v>4</v>
      </c>
      <c r="H21">
        <v>5</v>
      </c>
      <c r="I21">
        <v>5</v>
      </c>
      <c r="J21">
        <v>4</v>
      </c>
      <c r="K21" s="187">
        <v>4.5</v>
      </c>
      <c r="L21">
        <v>5</v>
      </c>
      <c r="M21">
        <v>2</v>
      </c>
      <c r="N21">
        <v>4</v>
      </c>
      <c r="O21">
        <v>5</v>
      </c>
      <c r="P21" s="187">
        <v>4.1111111111111107</v>
      </c>
      <c r="Q21">
        <v>3</v>
      </c>
      <c r="R21">
        <v>5</v>
      </c>
      <c r="S21">
        <v>4</v>
      </c>
      <c r="T21">
        <v>5</v>
      </c>
      <c r="U21">
        <v>5</v>
      </c>
      <c r="V21">
        <v>5</v>
      </c>
      <c r="W21" s="188">
        <v>4.416666666666667</v>
      </c>
      <c r="X21">
        <v>5</v>
      </c>
      <c r="Y21">
        <v>5</v>
      </c>
      <c r="Z21">
        <v>5</v>
      </c>
      <c r="AA21">
        <v>1</v>
      </c>
      <c r="AB21" s="187">
        <v>4.666666666666667</v>
      </c>
      <c r="AC21" s="160">
        <v>4.4930555555555554</v>
      </c>
      <c r="AD21" s="258">
        <v>8</v>
      </c>
    </row>
    <row r="22" spans="1:30" ht="16" x14ac:dyDescent="0.35">
      <c r="A22" s="102">
        <f>_xlfn.XLOOKUP(B22, 'Open Source Tools'!$E$3:$E$206, 'Open Source Tools'!$A$3:$A$206, "Not found")</f>
        <v>78</v>
      </c>
      <c r="B22" s="9" t="s">
        <v>1471</v>
      </c>
      <c r="C22" t="s">
        <v>74</v>
      </c>
      <c r="D22" t="s">
        <v>3247</v>
      </c>
      <c r="E22">
        <v>5</v>
      </c>
      <c r="F22">
        <v>5</v>
      </c>
      <c r="G22">
        <v>5</v>
      </c>
      <c r="H22">
        <v>4</v>
      </c>
      <c r="I22">
        <v>5</v>
      </c>
      <c r="J22">
        <v>3</v>
      </c>
      <c r="K22" s="187">
        <v>4.333333333333333</v>
      </c>
      <c r="L22">
        <v>5</v>
      </c>
      <c r="M22">
        <v>4</v>
      </c>
      <c r="N22">
        <v>4</v>
      </c>
      <c r="O22">
        <v>5</v>
      </c>
      <c r="P22" s="187">
        <v>4.5555555555555554</v>
      </c>
      <c r="Q22">
        <v>4</v>
      </c>
      <c r="R22">
        <v>4</v>
      </c>
      <c r="S22">
        <v>5</v>
      </c>
      <c r="T22">
        <v>5</v>
      </c>
      <c r="U22">
        <v>5</v>
      </c>
      <c r="V22">
        <v>3</v>
      </c>
      <c r="W22" s="188">
        <v>4.416666666666667</v>
      </c>
      <c r="X22">
        <v>5</v>
      </c>
      <c r="Y22">
        <v>5</v>
      </c>
      <c r="Z22">
        <v>3</v>
      </c>
      <c r="AA22">
        <v>4</v>
      </c>
      <c r="AB22" s="187">
        <v>4.416666666666667</v>
      </c>
      <c r="AC22" s="160">
        <v>4.4319444444444445</v>
      </c>
      <c r="AD22" s="258">
        <v>8</v>
      </c>
    </row>
    <row r="23" spans="1:30" ht="16" x14ac:dyDescent="0.35">
      <c r="A23" s="102">
        <f>_xlfn.XLOOKUP(B23, 'Open Source Tools'!$E$3:$E$206, 'Open Source Tools'!$A$3:$A$206, "Not found")</f>
        <v>73</v>
      </c>
      <c r="B23" s="9" t="s">
        <v>1411</v>
      </c>
      <c r="C23" t="s">
        <v>74</v>
      </c>
      <c r="D23" t="s">
        <v>326</v>
      </c>
      <c r="E23">
        <v>5</v>
      </c>
      <c r="F23">
        <v>4</v>
      </c>
      <c r="G23">
        <v>4</v>
      </c>
      <c r="H23">
        <v>4</v>
      </c>
      <c r="I23">
        <v>4</v>
      </c>
      <c r="J23">
        <v>4</v>
      </c>
      <c r="K23" s="187">
        <v>4.166666666666667</v>
      </c>
      <c r="L23">
        <v>5</v>
      </c>
      <c r="M23">
        <v>2</v>
      </c>
      <c r="N23">
        <v>5</v>
      </c>
      <c r="O23">
        <v>5</v>
      </c>
      <c r="P23" s="187">
        <v>4.333333333333333</v>
      </c>
      <c r="Q23">
        <v>4</v>
      </c>
      <c r="R23">
        <v>4</v>
      </c>
      <c r="S23">
        <v>5</v>
      </c>
      <c r="T23">
        <v>5</v>
      </c>
      <c r="U23">
        <v>5</v>
      </c>
      <c r="V23">
        <v>5</v>
      </c>
      <c r="W23" s="188">
        <v>4.75</v>
      </c>
      <c r="X23">
        <v>5</v>
      </c>
      <c r="Y23">
        <v>5</v>
      </c>
      <c r="Z23">
        <v>5</v>
      </c>
      <c r="AA23">
        <v>4</v>
      </c>
      <c r="AB23" s="187">
        <v>4.916666666666667</v>
      </c>
      <c r="AC23" s="160">
        <v>4.6624999999999996</v>
      </c>
      <c r="AD23" s="258">
        <v>9</v>
      </c>
    </row>
    <row r="24" spans="1:30" ht="16" x14ac:dyDescent="0.35">
      <c r="A24" s="102">
        <f>_xlfn.XLOOKUP(B24, 'Open Source Tools'!$E$3:$E$206, 'Open Source Tools'!$A$3:$A$206, "Not found")</f>
        <v>72</v>
      </c>
      <c r="B24" s="9" t="s">
        <v>1399</v>
      </c>
      <c r="C24" t="s">
        <v>74</v>
      </c>
      <c r="D24" t="s">
        <v>326</v>
      </c>
      <c r="E24">
        <v>2</v>
      </c>
      <c r="F24">
        <v>3</v>
      </c>
      <c r="G24">
        <v>2</v>
      </c>
      <c r="H24">
        <v>4</v>
      </c>
      <c r="I24">
        <v>4</v>
      </c>
      <c r="J24">
        <v>3</v>
      </c>
      <c r="K24" s="187">
        <v>3.0833333333333335</v>
      </c>
      <c r="L24">
        <v>5</v>
      </c>
      <c r="M24">
        <v>2</v>
      </c>
      <c r="N24">
        <v>4</v>
      </c>
      <c r="O24">
        <v>3</v>
      </c>
      <c r="P24" s="187">
        <v>3.6666666666666665</v>
      </c>
      <c r="Q24">
        <v>5</v>
      </c>
      <c r="R24">
        <v>2</v>
      </c>
      <c r="S24">
        <v>4</v>
      </c>
      <c r="T24">
        <v>5</v>
      </c>
      <c r="U24">
        <v>5</v>
      </c>
      <c r="V24">
        <v>4</v>
      </c>
      <c r="W24" s="188">
        <v>4.333333333333333</v>
      </c>
      <c r="X24">
        <v>5</v>
      </c>
      <c r="Y24">
        <v>3</v>
      </c>
      <c r="Z24">
        <v>3</v>
      </c>
      <c r="AA24">
        <v>3</v>
      </c>
      <c r="AB24" s="187">
        <v>3.8333333333333335</v>
      </c>
      <c r="AC24" s="160">
        <v>3.7625000000000002</v>
      </c>
      <c r="AD24" s="258">
        <v>7</v>
      </c>
    </row>
    <row r="25" spans="1:30" ht="16" x14ac:dyDescent="0.35">
      <c r="A25" s="102">
        <f>_xlfn.XLOOKUP(B25, 'Open Source Tools'!$E$3:$E$206, 'Open Source Tools'!$A$3:$A$206, "Not found")</f>
        <v>56</v>
      </c>
      <c r="B25" s="9" t="s">
        <v>1210</v>
      </c>
      <c r="C25" t="s">
        <v>74</v>
      </c>
      <c r="D25" t="s">
        <v>326</v>
      </c>
      <c r="E25">
        <v>3</v>
      </c>
      <c r="F25">
        <v>3</v>
      </c>
      <c r="G25">
        <v>2</v>
      </c>
      <c r="H25">
        <v>2</v>
      </c>
      <c r="I25">
        <v>2</v>
      </c>
      <c r="J25">
        <v>4</v>
      </c>
      <c r="K25" s="187">
        <v>2.8333333333333335</v>
      </c>
      <c r="L25">
        <v>5</v>
      </c>
      <c r="M25">
        <v>3</v>
      </c>
      <c r="N25">
        <v>4</v>
      </c>
      <c r="O25">
        <v>5</v>
      </c>
      <c r="P25" s="187">
        <v>4.333333333333333</v>
      </c>
      <c r="Q25">
        <v>2</v>
      </c>
      <c r="R25">
        <v>2</v>
      </c>
      <c r="S25">
        <v>4</v>
      </c>
      <c r="T25">
        <v>5</v>
      </c>
      <c r="U25">
        <v>2</v>
      </c>
      <c r="V25">
        <v>3</v>
      </c>
      <c r="W25" s="188">
        <v>3.1666666666666665</v>
      </c>
      <c r="X25">
        <v>1</v>
      </c>
      <c r="Y25">
        <v>3</v>
      </c>
      <c r="Z25">
        <v>3</v>
      </c>
      <c r="AA25">
        <v>3</v>
      </c>
      <c r="AB25" s="187">
        <v>2.1666666666666665</v>
      </c>
      <c r="AC25" s="160">
        <v>2.8499999999999996</v>
      </c>
      <c r="AD25" s="258">
        <v>5</v>
      </c>
    </row>
    <row r="26" spans="1:30" ht="16" x14ac:dyDescent="0.35">
      <c r="A26" s="102">
        <f>_xlfn.XLOOKUP(B26, 'Open Source Tools'!$E$3:$E$206, 'Open Source Tools'!$A$3:$A$206, "Not found")</f>
        <v>198</v>
      </c>
      <c r="B26" s="9" t="s">
        <v>3080</v>
      </c>
      <c r="C26" t="s">
        <v>84</v>
      </c>
      <c r="D26" t="s">
        <v>417</v>
      </c>
      <c r="E26">
        <v>2</v>
      </c>
      <c r="F26">
        <v>2</v>
      </c>
      <c r="G26">
        <v>2</v>
      </c>
      <c r="H26">
        <v>3</v>
      </c>
      <c r="I26">
        <v>2</v>
      </c>
      <c r="J26">
        <v>5</v>
      </c>
      <c r="K26" s="187">
        <v>2.9166666666666665</v>
      </c>
      <c r="L26">
        <v>5</v>
      </c>
      <c r="M26">
        <v>5</v>
      </c>
      <c r="N26">
        <v>4</v>
      </c>
      <c r="O26">
        <v>5</v>
      </c>
      <c r="P26" s="187">
        <v>4.7777777777777777</v>
      </c>
      <c r="Q26">
        <v>5</v>
      </c>
      <c r="R26">
        <v>2</v>
      </c>
      <c r="S26">
        <v>2</v>
      </c>
      <c r="T26">
        <v>5</v>
      </c>
      <c r="U26">
        <v>5</v>
      </c>
      <c r="V26">
        <v>4</v>
      </c>
      <c r="W26" s="188">
        <v>3.8333333333333335</v>
      </c>
      <c r="X26">
        <v>5</v>
      </c>
      <c r="Y26">
        <v>5</v>
      </c>
      <c r="Z26">
        <v>3</v>
      </c>
      <c r="AA26">
        <v>4</v>
      </c>
      <c r="AB26" s="187">
        <v>4.416666666666667</v>
      </c>
      <c r="AC26" s="160">
        <v>4.1763888888888889</v>
      </c>
      <c r="AD26" s="258">
        <v>8</v>
      </c>
    </row>
    <row r="27" spans="1:30" ht="16" x14ac:dyDescent="0.35">
      <c r="A27" s="102">
        <f>_xlfn.XLOOKUP(B27, 'Open Source Tools'!$E$3:$E$206, 'Open Source Tools'!$A$3:$A$206, "Not found")</f>
        <v>199</v>
      </c>
      <c r="B27" s="9" t="s">
        <v>3095</v>
      </c>
      <c r="C27" t="s">
        <v>84</v>
      </c>
      <c r="D27" t="s">
        <v>417</v>
      </c>
      <c r="E27">
        <v>3</v>
      </c>
      <c r="F27">
        <v>2</v>
      </c>
      <c r="G27">
        <v>2</v>
      </c>
      <c r="H27">
        <v>3</v>
      </c>
      <c r="I27">
        <v>2</v>
      </c>
      <c r="J27">
        <v>5</v>
      </c>
      <c r="K27" s="187">
        <v>3.0833333333333335</v>
      </c>
      <c r="L27">
        <v>5</v>
      </c>
      <c r="M27">
        <v>5</v>
      </c>
      <c r="N27">
        <v>2</v>
      </c>
      <c r="O27">
        <v>5</v>
      </c>
      <c r="P27" s="187">
        <v>4.333333333333333</v>
      </c>
      <c r="Q27">
        <v>5</v>
      </c>
      <c r="R27">
        <v>2</v>
      </c>
      <c r="S27">
        <v>5</v>
      </c>
      <c r="T27">
        <v>5</v>
      </c>
      <c r="U27">
        <v>5</v>
      </c>
      <c r="V27">
        <v>3</v>
      </c>
      <c r="W27" s="188">
        <v>4.416666666666667</v>
      </c>
      <c r="X27">
        <v>5</v>
      </c>
      <c r="Y27">
        <v>5</v>
      </c>
      <c r="Z27">
        <v>3</v>
      </c>
      <c r="AA27">
        <v>3</v>
      </c>
      <c r="AB27" s="187">
        <v>4.333333333333333</v>
      </c>
      <c r="AC27" s="160">
        <v>4.1583333333333332</v>
      </c>
      <c r="AD27" s="258">
        <v>8</v>
      </c>
    </row>
    <row r="28" spans="1:30" ht="16" x14ac:dyDescent="0.35">
      <c r="A28" s="102">
        <f>_xlfn.XLOOKUP(B28, 'Open Source Tools'!$E$3:$E$206, 'Open Source Tools'!$A$3:$A$206, "Not found")</f>
        <v>197</v>
      </c>
      <c r="B28" s="9" t="s">
        <v>3067</v>
      </c>
      <c r="C28" t="s">
        <v>84</v>
      </c>
      <c r="D28" t="s">
        <v>417</v>
      </c>
      <c r="E28">
        <v>2</v>
      </c>
      <c r="F28">
        <v>1</v>
      </c>
      <c r="G28">
        <v>1</v>
      </c>
      <c r="H28">
        <v>3</v>
      </c>
      <c r="I28">
        <v>2</v>
      </c>
      <c r="J28">
        <v>5</v>
      </c>
      <c r="K28" s="187">
        <v>2.6666666666666665</v>
      </c>
      <c r="L28">
        <v>5</v>
      </c>
      <c r="M28">
        <v>4</v>
      </c>
      <c r="N28">
        <v>4</v>
      </c>
      <c r="O28">
        <v>5</v>
      </c>
      <c r="P28" s="187">
        <v>4.5555555555555554</v>
      </c>
      <c r="Q28">
        <v>5</v>
      </c>
      <c r="R28">
        <v>2</v>
      </c>
      <c r="S28">
        <v>1</v>
      </c>
      <c r="T28">
        <v>5</v>
      </c>
      <c r="U28">
        <v>5</v>
      </c>
      <c r="V28">
        <v>3</v>
      </c>
      <c r="W28" s="188">
        <v>3.4166666666666665</v>
      </c>
      <c r="X28">
        <v>5</v>
      </c>
      <c r="Y28">
        <v>5</v>
      </c>
      <c r="Z28">
        <v>3</v>
      </c>
      <c r="AA28">
        <v>3</v>
      </c>
      <c r="AB28" s="187">
        <v>4.333333333333333</v>
      </c>
      <c r="AC28" s="160">
        <v>3.9902777777777776</v>
      </c>
      <c r="AD28" s="258">
        <v>7</v>
      </c>
    </row>
    <row r="29" spans="1:30" ht="16" x14ac:dyDescent="0.35">
      <c r="A29" s="102">
        <f>_xlfn.XLOOKUP(B29, 'Open Source Tools'!$E$3:$E$206, 'Open Source Tools'!$A$3:$A$206, "Not found")</f>
        <v>16</v>
      </c>
      <c r="B29" s="9" t="s">
        <v>689</v>
      </c>
      <c r="C29" t="s">
        <v>51</v>
      </c>
      <c r="D29" t="s">
        <v>596</v>
      </c>
      <c r="E29">
        <v>4</v>
      </c>
      <c r="F29">
        <v>3</v>
      </c>
      <c r="G29">
        <v>3</v>
      </c>
      <c r="H29">
        <v>4</v>
      </c>
      <c r="I29">
        <v>4</v>
      </c>
      <c r="J29">
        <v>4</v>
      </c>
      <c r="K29" s="187">
        <v>3.75</v>
      </c>
      <c r="L29">
        <v>5</v>
      </c>
      <c r="M29">
        <v>2</v>
      </c>
      <c r="N29">
        <v>5</v>
      </c>
      <c r="O29">
        <v>5</v>
      </c>
      <c r="P29" s="187">
        <v>4.333333333333333</v>
      </c>
      <c r="Q29">
        <v>1</v>
      </c>
      <c r="R29">
        <v>2</v>
      </c>
      <c r="S29">
        <v>3</v>
      </c>
      <c r="T29">
        <v>5</v>
      </c>
      <c r="U29">
        <v>5</v>
      </c>
      <c r="V29">
        <v>4</v>
      </c>
      <c r="W29" s="188">
        <v>3.4166666666666665</v>
      </c>
      <c r="X29">
        <v>5</v>
      </c>
      <c r="Y29">
        <v>5</v>
      </c>
      <c r="Z29">
        <v>3</v>
      </c>
      <c r="AA29">
        <v>3</v>
      </c>
      <c r="AB29" s="187">
        <v>4.333333333333333</v>
      </c>
      <c r="AC29" s="160">
        <v>4.1083333333333334</v>
      </c>
      <c r="AD29" s="258">
        <v>8</v>
      </c>
    </row>
    <row r="30" spans="1:30" ht="16" x14ac:dyDescent="0.35">
      <c r="A30" s="102">
        <f>_xlfn.XLOOKUP(B30, 'Open Source Tools'!$E$3:$E$206, 'Open Source Tools'!$A$3:$A$206, "Not found")</f>
        <v>7</v>
      </c>
      <c r="B30" s="9" t="s">
        <v>597</v>
      </c>
      <c r="C30" t="s">
        <v>51</v>
      </c>
      <c r="D30" t="s">
        <v>596</v>
      </c>
      <c r="E30">
        <v>2</v>
      </c>
      <c r="F30">
        <v>2</v>
      </c>
      <c r="G30">
        <v>2</v>
      </c>
      <c r="H30">
        <v>3</v>
      </c>
      <c r="I30">
        <v>3</v>
      </c>
      <c r="J30">
        <v>4</v>
      </c>
      <c r="K30" s="187">
        <v>2.8333333333333335</v>
      </c>
      <c r="L30">
        <v>5</v>
      </c>
      <c r="M30">
        <v>5</v>
      </c>
      <c r="N30">
        <v>1</v>
      </c>
      <c r="O30">
        <v>5</v>
      </c>
      <c r="P30" s="187">
        <v>4.1111111111111107</v>
      </c>
      <c r="Q30">
        <v>2</v>
      </c>
      <c r="R30">
        <v>3</v>
      </c>
      <c r="S30">
        <v>5</v>
      </c>
      <c r="T30">
        <v>1</v>
      </c>
      <c r="U30">
        <v>1</v>
      </c>
      <c r="V30">
        <v>3</v>
      </c>
      <c r="W30" s="188">
        <v>2.6666666666666665</v>
      </c>
      <c r="X30">
        <v>5</v>
      </c>
      <c r="Y30">
        <v>5</v>
      </c>
      <c r="Z30">
        <v>3</v>
      </c>
      <c r="AA30">
        <v>3</v>
      </c>
      <c r="AB30" s="187">
        <v>4.333333333333333</v>
      </c>
      <c r="AC30" s="160">
        <v>3.8138888888888887</v>
      </c>
      <c r="AD30" s="258">
        <v>7</v>
      </c>
    </row>
    <row r="31" spans="1:30" ht="16" x14ac:dyDescent="0.35">
      <c r="A31" s="102">
        <f>_xlfn.XLOOKUP(B31, 'Open Source Tools'!$E$3:$E$206, 'Open Source Tools'!$A$3:$A$206, "Not found")</f>
        <v>10</v>
      </c>
      <c r="B31" s="9" t="s">
        <v>631</v>
      </c>
      <c r="C31" t="s">
        <v>51</v>
      </c>
      <c r="D31" t="s">
        <v>154</v>
      </c>
      <c r="E31">
        <v>2</v>
      </c>
      <c r="F31">
        <v>2</v>
      </c>
      <c r="G31">
        <v>2</v>
      </c>
      <c r="H31">
        <v>4</v>
      </c>
      <c r="I31">
        <v>3</v>
      </c>
      <c r="J31">
        <v>5</v>
      </c>
      <c r="K31" s="187">
        <v>3.25</v>
      </c>
      <c r="L31">
        <v>5</v>
      </c>
      <c r="M31">
        <v>5</v>
      </c>
      <c r="N31">
        <v>5</v>
      </c>
      <c r="O31">
        <v>5</v>
      </c>
      <c r="P31" s="187">
        <v>5</v>
      </c>
      <c r="Q31">
        <v>3</v>
      </c>
      <c r="R31">
        <v>2</v>
      </c>
      <c r="S31">
        <v>5</v>
      </c>
      <c r="T31">
        <v>5</v>
      </c>
      <c r="U31">
        <v>5</v>
      </c>
      <c r="V31">
        <v>4</v>
      </c>
      <c r="W31" s="188">
        <v>4.25</v>
      </c>
      <c r="X31">
        <v>5</v>
      </c>
      <c r="Y31">
        <v>5</v>
      </c>
      <c r="Z31">
        <v>3</v>
      </c>
      <c r="AA31">
        <v>3</v>
      </c>
      <c r="AB31" s="187">
        <v>4.333333333333333</v>
      </c>
      <c r="AC31" s="160">
        <v>4.2916666666666661</v>
      </c>
      <c r="AD31" s="258">
        <v>8</v>
      </c>
    </row>
    <row r="32" spans="1:30" ht="16" x14ac:dyDescent="0.35">
      <c r="A32" s="102">
        <f>_xlfn.XLOOKUP(B32, 'Open Source Tools'!$E$3:$E$206, 'Open Source Tools'!$A$3:$A$206, "Not found")</f>
        <v>9</v>
      </c>
      <c r="B32" s="9" t="s">
        <v>618</v>
      </c>
      <c r="C32" t="s">
        <v>51</v>
      </c>
      <c r="D32" t="s">
        <v>154</v>
      </c>
      <c r="E32">
        <v>2</v>
      </c>
      <c r="F32">
        <v>1</v>
      </c>
      <c r="G32">
        <v>1</v>
      </c>
      <c r="H32">
        <v>3</v>
      </c>
      <c r="I32">
        <v>2</v>
      </c>
      <c r="J32">
        <v>5</v>
      </c>
      <c r="K32" s="187">
        <v>2.6666666666666665</v>
      </c>
      <c r="L32">
        <v>5</v>
      </c>
      <c r="M32">
        <v>5</v>
      </c>
      <c r="N32">
        <v>4</v>
      </c>
      <c r="O32">
        <v>5</v>
      </c>
      <c r="P32" s="187">
        <v>4.7777777777777777</v>
      </c>
      <c r="Q32">
        <v>1</v>
      </c>
      <c r="R32">
        <v>2</v>
      </c>
      <c r="S32">
        <v>4</v>
      </c>
      <c r="T32">
        <v>5</v>
      </c>
      <c r="U32">
        <v>5</v>
      </c>
      <c r="V32">
        <v>2</v>
      </c>
      <c r="W32" s="188">
        <v>3.3333333333333335</v>
      </c>
      <c r="X32">
        <v>5</v>
      </c>
      <c r="Y32">
        <v>5</v>
      </c>
      <c r="Z32">
        <v>3</v>
      </c>
      <c r="AA32">
        <v>1</v>
      </c>
      <c r="AB32" s="187">
        <v>4.166666666666667</v>
      </c>
      <c r="AC32" s="160">
        <v>3.9388888888888891</v>
      </c>
      <c r="AD32" s="258">
        <v>7</v>
      </c>
    </row>
    <row r="33" spans="1:30" ht="16" x14ac:dyDescent="0.35">
      <c r="A33" s="102">
        <f>_xlfn.XLOOKUP(B33, 'Open Source Tools'!$E$3:$E$206, 'Open Source Tools'!$A$3:$A$206, "Not found")</f>
        <v>8</v>
      </c>
      <c r="B33" s="9" t="s">
        <v>608</v>
      </c>
      <c r="C33" t="s">
        <v>51</v>
      </c>
      <c r="D33" t="s">
        <v>154</v>
      </c>
      <c r="E33">
        <v>2</v>
      </c>
      <c r="F33">
        <v>2</v>
      </c>
      <c r="G33">
        <v>2</v>
      </c>
      <c r="H33">
        <v>1</v>
      </c>
      <c r="I33">
        <v>1</v>
      </c>
      <c r="J33">
        <v>1</v>
      </c>
      <c r="K33" s="187">
        <v>1.4166666666666667</v>
      </c>
      <c r="L33">
        <v>5</v>
      </c>
      <c r="M33">
        <v>5</v>
      </c>
      <c r="N33">
        <v>1</v>
      </c>
      <c r="O33">
        <v>5</v>
      </c>
      <c r="P33" s="187">
        <v>4.1111111111111107</v>
      </c>
      <c r="Q33">
        <v>3</v>
      </c>
      <c r="R33">
        <v>1</v>
      </c>
      <c r="S33">
        <v>1</v>
      </c>
      <c r="T33">
        <v>5</v>
      </c>
      <c r="U33">
        <v>5</v>
      </c>
      <c r="V33">
        <v>2</v>
      </c>
      <c r="W33" s="188">
        <v>2.8333333333333335</v>
      </c>
      <c r="X33">
        <v>1</v>
      </c>
      <c r="Y33">
        <v>5</v>
      </c>
      <c r="Z33">
        <v>3</v>
      </c>
      <c r="AA33">
        <v>1</v>
      </c>
      <c r="AB33" s="187">
        <v>2.5</v>
      </c>
      <c r="AC33" s="160">
        <v>2.7097222222222221</v>
      </c>
      <c r="AD33" s="258">
        <v>5</v>
      </c>
    </row>
    <row r="34" spans="1:30" ht="16" x14ac:dyDescent="0.35">
      <c r="A34" s="102">
        <f>_xlfn.XLOOKUP(B34, 'Open Source Tools'!$E$3:$E$206, 'Open Source Tools'!$A$3:$A$206, "Not found")</f>
        <v>13</v>
      </c>
      <c r="B34" s="9" t="s">
        <v>670</v>
      </c>
      <c r="C34" t="s">
        <v>51</v>
      </c>
      <c r="D34" t="s">
        <v>160</v>
      </c>
      <c r="E34">
        <v>3</v>
      </c>
      <c r="F34">
        <v>2</v>
      </c>
      <c r="G34">
        <v>2</v>
      </c>
      <c r="H34">
        <v>4</v>
      </c>
      <c r="I34">
        <v>4</v>
      </c>
      <c r="J34">
        <v>4</v>
      </c>
      <c r="K34" s="187">
        <v>3.3333333333333335</v>
      </c>
      <c r="L34">
        <v>5</v>
      </c>
      <c r="M34">
        <v>5</v>
      </c>
      <c r="N34">
        <v>5</v>
      </c>
      <c r="O34">
        <v>5</v>
      </c>
      <c r="P34" s="187">
        <v>5</v>
      </c>
      <c r="Q34">
        <v>1</v>
      </c>
      <c r="R34">
        <v>2</v>
      </c>
      <c r="S34">
        <v>3</v>
      </c>
      <c r="T34">
        <v>5</v>
      </c>
      <c r="U34">
        <v>5</v>
      </c>
      <c r="V34">
        <v>3</v>
      </c>
      <c r="W34" s="188">
        <v>3.25</v>
      </c>
      <c r="X34">
        <v>5</v>
      </c>
      <c r="Y34">
        <v>5</v>
      </c>
      <c r="Z34">
        <v>3</v>
      </c>
      <c r="AA34">
        <v>3</v>
      </c>
      <c r="AB34" s="187">
        <v>4.333333333333333</v>
      </c>
      <c r="AC34" s="160">
        <v>4.1541666666666668</v>
      </c>
      <c r="AD34" s="258">
        <v>8</v>
      </c>
    </row>
    <row r="35" spans="1:30" ht="16" x14ac:dyDescent="0.35">
      <c r="A35" s="102">
        <f>_xlfn.XLOOKUP(B35, 'Open Source Tools'!$E$3:$E$206, 'Open Source Tools'!$A$3:$A$206, "Not found")</f>
        <v>14</v>
      </c>
      <c r="B35" s="9" t="s">
        <v>3179</v>
      </c>
      <c r="C35" t="s">
        <v>51</v>
      </c>
      <c r="D35" t="s">
        <v>160</v>
      </c>
      <c r="E35">
        <v>2</v>
      </c>
      <c r="F35">
        <v>1</v>
      </c>
      <c r="G35">
        <v>1</v>
      </c>
      <c r="H35">
        <v>4</v>
      </c>
      <c r="I35">
        <v>3</v>
      </c>
      <c r="J35">
        <v>4</v>
      </c>
      <c r="K35" s="187">
        <v>2.75</v>
      </c>
      <c r="L35">
        <v>5</v>
      </c>
      <c r="M35">
        <v>5</v>
      </c>
      <c r="N35">
        <v>5</v>
      </c>
      <c r="O35">
        <v>5</v>
      </c>
      <c r="P35" s="187">
        <v>5</v>
      </c>
      <c r="Q35">
        <v>4</v>
      </c>
      <c r="R35">
        <v>2</v>
      </c>
      <c r="S35">
        <v>4</v>
      </c>
      <c r="T35">
        <v>5</v>
      </c>
      <c r="U35">
        <v>5</v>
      </c>
      <c r="V35">
        <v>3</v>
      </c>
      <c r="W35" s="188">
        <v>4</v>
      </c>
      <c r="X35">
        <v>3</v>
      </c>
      <c r="Y35">
        <v>5</v>
      </c>
      <c r="Z35">
        <v>2</v>
      </c>
      <c r="AA35">
        <v>2</v>
      </c>
      <c r="AB35" s="187">
        <v>3.1666666666666665</v>
      </c>
      <c r="AC35" s="160">
        <v>3.5958333333333332</v>
      </c>
      <c r="AD35" s="258">
        <v>7</v>
      </c>
    </row>
    <row r="36" spans="1:30" ht="16" x14ac:dyDescent="0.35">
      <c r="A36" s="102">
        <f>_xlfn.XLOOKUP(B36, 'Open Source Tools'!$E$3:$E$206, 'Open Source Tools'!$A$3:$A$206, "Not found")</f>
        <v>15</v>
      </c>
      <c r="B36" s="9" t="s">
        <v>676</v>
      </c>
      <c r="C36" t="s">
        <v>51</v>
      </c>
      <c r="D36" t="s">
        <v>160</v>
      </c>
      <c r="E36">
        <v>3</v>
      </c>
      <c r="F36">
        <v>2</v>
      </c>
      <c r="G36">
        <v>2</v>
      </c>
      <c r="H36">
        <v>3</v>
      </c>
      <c r="I36">
        <v>2</v>
      </c>
      <c r="J36">
        <v>1</v>
      </c>
      <c r="K36" s="187">
        <v>2.0833333333333335</v>
      </c>
      <c r="L36">
        <v>5</v>
      </c>
      <c r="M36">
        <v>5</v>
      </c>
      <c r="N36">
        <v>1</v>
      </c>
      <c r="O36">
        <v>5</v>
      </c>
      <c r="P36" s="187">
        <v>4.1111111111111107</v>
      </c>
      <c r="Q36">
        <v>4</v>
      </c>
      <c r="R36">
        <v>2</v>
      </c>
      <c r="S36">
        <v>4</v>
      </c>
      <c r="T36">
        <v>5</v>
      </c>
      <c r="U36">
        <v>5</v>
      </c>
      <c r="V36">
        <v>2</v>
      </c>
      <c r="W36" s="188">
        <v>3.8333333333333335</v>
      </c>
      <c r="X36">
        <v>1</v>
      </c>
      <c r="Y36">
        <v>1</v>
      </c>
      <c r="Z36">
        <v>1</v>
      </c>
      <c r="AA36">
        <v>1</v>
      </c>
      <c r="AB36" s="187">
        <v>1</v>
      </c>
      <c r="AC36" s="160">
        <v>2.2097222222222221</v>
      </c>
      <c r="AD36" s="258">
        <v>3</v>
      </c>
    </row>
    <row r="37" spans="1:30" ht="16" x14ac:dyDescent="0.35">
      <c r="A37" s="102">
        <f>_xlfn.XLOOKUP(B37, 'Open Source Tools'!$E$3:$E$206, 'Open Source Tools'!$A$3:$A$206, "Not found")</f>
        <v>103</v>
      </c>
      <c r="B37" s="9" t="s">
        <v>1784</v>
      </c>
      <c r="C37" t="s">
        <v>51</v>
      </c>
      <c r="D37" t="s">
        <v>148</v>
      </c>
      <c r="E37">
        <v>2</v>
      </c>
      <c r="F37">
        <v>2</v>
      </c>
      <c r="G37">
        <v>2</v>
      </c>
      <c r="H37">
        <v>2</v>
      </c>
      <c r="I37">
        <v>2</v>
      </c>
      <c r="J37">
        <v>1</v>
      </c>
      <c r="K37" s="187">
        <v>1.75</v>
      </c>
      <c r="L37">
        <v>5</v>
      </c>
      <c r="M37">
        <v>5</v>
      </c>
      <c r="N37">
        <v>4</v>
      </c>
      <c r="O37">
        <v>1</v>
      </c>
      <c r="P37" s="187">
        <v>3.8888888888888888</v>
      </c>
      <c r="Q37">
        <v>3</v>
      </c>
      <c r="R37">
        <v>2</v>
      </c>
      <c r="S37">
        <v>4</v>
      </c>
      <c r="T37">
        <v>1</v>
      </c>
      <c r="U37">
        <v>1</v>
      </c>
      <c r="V37">
        <v>2</v>
      </c>
      <c r="W37" s="188">
        <v>2.3333333333333335</v>
      </c>
      <c r="X37">
        <v>5</v>
      </c>
      <c r="Y37">
        <v>5</v>
      </c>
      <c r="Z37">
        <v>3</v>
      </c>
      <c r="AA37">
        <v>3</v>
      </c>
      <c r="AB37" s="187">
        <v>4.333333333333333</v>
      </c>
      <c r="AC37" s="160">
        <v>3.5569444444444445</v>
      </c>
      <c r="AD37" s="258">
        <v>7</v>
      </c>
    </row>
    <row r="38" spans="1:30" ht="16" x14ac:dyDescent="0.35">
      <c r="A38" s="102">
        <f>_xlfn.XLOOKUP(B38, 'Open Source Tools'!$E$3:$E$206, 'Open Source Tools'!$A$3:$A$206, "Not found")</f>
        <v>4</v>
      </c>
      <c r="B38" s="9" t="s">
        <v>558</v>
      </c>
      <c r="C38" t="s">
        <v>51</v>
      </c>
      <c r="D38" t="s">
        <v>148</v>
      </c>
      <c r="E38">
        <v>1</v>
      </c>
      <c r="F38">
        <v>1</v>
      </c>
      <c r="G38">
        <v>1</v>
      </c>
      <c r="H38">
        <v>1</v>
      </c>
      <c r="I38">
        <v>1</v>
      </c>
      <c r="J38">
        <v>1</v>
      </c>
      <c r="K38" s="187">
        <v>1</v>
      </c>
      <c r="L38">
        <v>1</v>
      </c>
      <c r="M38">
        <v>4</v>
      </c>
      <c r="N38">
        <v>1</v>
      </c>
      <c r="O38">
        <v>3</v>
      </c>
      <c r="P38" s="187">
        <v>2.1111111111111112</v>
      </c>
      <c r="Q38">
        <v>1</v>
      </c>
      <c r="R38">
        <v>1</v>
      </c>
      <c r="S38">
        <v>1</v>
      </c>
      <c r="T38">
        <v>1</v>
      </c>
      <c r="U38">
        <v>2</v>
      </c>
      <c r="V38">
        <v>1</v>
      </c>
      <c r="W38" s="188">
        <v>1.1666666666666667</v>
      </c>
      <c r="X38">
        <v>1</v>
      </c>
      <c r="Y38">
        <v>3</v>
      </c>
      <c r="Z38">
        <v>2</v>
      </c>
      <c r="AA38">
        <v>1</v>
      </c>
      <c r="AB38" s="187">
        <v>1.75</v>
      </c>
      <c r="AC38" s="160">
        <v>1.6222222222222222</v>
      </c>
      <c r="AD38" s="258">
        <v>2</v>
      </c>
    </row>
    <row r="39" spans="1:30" ht="16" x14ac:dyDescent="0.35">
      <c r="A39" s="102">
        <f>_xlfn.XLOOKUP(B39, 'Open Source Tools'!$E$3:$E$206, 'Open Source Tools'!$A$3:$A$206, "Not found")</f>
        <v>5</v>
      </c>
      <c r="B39" s="9" t="s">
        <v>570</v>
      </c>
      <c r="C39" t="s">
        <v>51</v>
      </c>
      <c r="D39" t="s">
        <v>151</v>
      </c>
      <c r="E39">
        <v>1</v>
      </c>
      <c r="F39">
        <v>1</v>
      </c>
      <c r="G39">
        <v>1</v>
      </c>
      <c r="H39">
        <v>2</v>
      </c>
      <c r="I39">
        <v>2</v>
      </c>
      <c r="J39">
        <v>1</v>
      </c>
      <c r="K39" s="187">
        <v>1.3333333333333333</v>
      </c>
      <c r="L39">
        <v>5</v>
      </c>
      <c r="M39">
        <v>4</v>
      </c>
      <c r="N39">
        <v>1</v>
      </c>
      <c r="O39">
        <v>5</v>
      </c>
      <c r="P39" s="187">
        <v>3.8888888888888888</v>
      </c>
      <c r="Q39">
        <v>4</v>
      </c>
      <c r="R39">
        <v>2</v>
      </c>
      <c r="S39">
        <v>4</v>
      </c>
      <c r="T39">
        <v>5</v>
      </c>
      <c r="U39">
        <v>2</v>
      </c>
      <c r="V39">
        <v>1</v>
      </c>
      <c r="W39" s="188">
        <v>3.1666666666666665</v>
      </c>
      <c r="X39">
        <v>5</v>
      </c>
      <c r="Y39">
        <v>5</v>
      </c>
      <c r="Z39">
        <v>3</v>
      </c>
      <c r="AA39">
        <v>3</v>
      </c>
      <c r="AB39" s="187">
        <v>4.333333333333333</v>
      </c>
      <c r="AC39" s="160">
        <v>3.6194444444444445</v>
      </c>
      <c r="AD39" s="258">
        <v>7</v>
      </c>
    </row>
    <row r="40" spans="1:30" ht="16" x14ac:dyDescent="0.35">
      <c r="A40" s="102">
        <f>_xlfn.XLOOKUP(B40, 'Open Source Tools'!$E$3:$E$206, 'Open Source Tools'!$A$3:$A$206, "Not found")</f>
        <v>92</v>
      </c>
      <c r="B40" s="9" t="s">
        <v>1635</v>
      </c>
      <c r="C40" t="s">
        <v>51</v>
      </c>
      <c r="D40" t="s">
        <v>151</v>
      </c>
      <c r="E40">
        <v>2</v>
      </c>
      <c r="F40">
        <v>1</v>
      </c>
      <c r="G40">
        <v>1</v>
      </c>
      <c r="H40">
        <v>1</v>
      </c>
      <c r="I40">
        <v>1</v>
      </c>
      <c r="J40">
        <v>3</v>
      </c>
      <c r="K40" s="187">
        <v>1.6666666666666667</v>
      </c>
      <c r="L40">
        <v>5</v>
      </c>
      <c r="M40">
        <v>5</v>
      </c>
      <c r="N40">
        <v>4</v>
      </c>
      <c r="O40">
        <v>5</v>
      </c>
      <c r="P40" s="187">
        <v>4.7777777777777777</v>
      </c>
      <c r="Q40">
        <v>4</v>
      </c>
      <c r="R40">
        <v>1</v>
      </c>
      <c r="S40">
        <v>1</v>
      </c>
      <c r="T40">
        <v>1</v>
      </c>
      <c r="U40">
        <v>1</v>
      </c>
      <c r="V40">
        <v>1</v>
      </c>
      <c r="W40" s="188">
        <v>1.5</v>
      </c>
      <c r="X40">
        <v>1</v>
      </c>
      <c r="Y40">
        <v>1</v>
      </c>
      <c r="Z40">
        <v>2</v>
      </c>
      <c r="AA40">
        <v>1</v>
      </c>
      <c r="AB40" s="187">
        <v>1.25</v>
      </c>
      <c r="AC40" s="160">
        <v>2.0555555555555558</v>
      </c>
      <c r="AD40" s="258">
        <v>3</v>
      </c>
    </row>
    <row r="41" spans="1:30" ht="16" x14ac:dyDescent="0.35">
      <c r="A41" s="102">
        <f>_xlfn.XLOOKUP(B41, 'Open Source Tools'!$E$3:$E$206, 'Open Source Tools'!$A$3:$A$206, "Not found")</f>
        <v>6</v>
      </c>
      <c r="B41" s="9" t="s">
        <v>583</v>
      </c>
      <c r="C41" t="s">
        <v>51</v>
      </c>
      <c r="D41" t="s">
        <v>151</v>
      </c>
      <c r="E41">
        <v>2</v>
      </c>
      <c r="F41">
        <v>2</v>
      </c>
      <c r="G41">
        <v>2</v>
      </c>
      <c r="H41">
        <v>2</v>
      </c>
      <c r="I41">
        <v>2</v>
      </c>
      <c r="J41">
        <v>3</v>
      </c>
      <c r="K41" s="187">
        <v>2.25</v>
      </c>
      <c r="L41">
        <v>5</v>
      </c>
      <c r="M41">
        <v>5</v>
      </c>
      <c r="N41">
        <v>4</v>
      </c>
      <c r="O41">
        <v>3</v>
      </c>
      <c r="P41" s="187">
        <v>4.333333333333333</v>
      </c>
      <c r="Q41">
        <v>3</v>
      </c>
      <c r="R41">
        <v>2</v>
      </c>
      <c r="S41">
        <v>3</v>
      </c>
      <c r="T41">
        <v>1</v>
      </c>
      <c r="U41">
        <v>1</v>
      </c>
      <c r="V41">
        <v>2</v>
      </c>
      <c r="W41" s="188">
        <v>2.0833333333333335</v>
      </c>
      <c r="X41">
        <v>1</v>
      </c>
      <c r="Y41">
        <v>1</v>
      </c>
      <c r="Z41">
        <v>1</v>
      </c>
      <c r="AA41">
        <v>1</v>
      </c>
      <c r="AB41" s="187">
        <v>1</v>
      </c>
      <c r="AC41" s="160">
        <v>2.0166666666666666</v>
      </c>
      <c r="AD41" s="258">
        <v>3</v>
      </c>
    </row>
    <row r="42" spans="1:30" ht="16" x14ac:dyDescent="0.35">
      <c r="A42" s="102">
        <f>_xlfn.XLOOKUP(B42, 'Open Source Tools'!$E$3:$E$206, 'Open Source Tools'!$A$3:$A$206, "Not found")</f>
        <v>96</v>
      </c>
      <c r="B42" s="9" t="s">
        <v>1679</v>
      </c>
      <c r="C42" t="s">
        <v>48</v>
      </c>
      <c r="D42" t="s">
        <v>123</v>
      </c>
      <c r="E42">
        <v>3</v>
      </c>
      <c r="F42">
        <v>3</v>
      </c>
      <c r="G42">
        <v>3</v>
      </c>
      <c r="H42">
        <v>4</v>
      </c>
      <c r="I42">
        <v>3</v>
      </c>
      <c r="J42">
        <v>4</v>
      </c>
      <c r="K42" s="187">
        <v>3.4166666666666665</v>
      </c>
      <c r="L42">
        <v>5</v>
      </c>
      <c r="M42">
        <v>3</v>
      </c>
      <c r="N42">
        <v>4</v>
      </c>
      <c r="O42">
        <v>5</v>
      </c>
      <c r="P42" s="187">
        <v>4.333333333333333</v>
      </c>
      <c r="Q42">
        <v>4</v>
      </c>
      <c r="R42">
        <v>3</v>
      </c>
      <c r="S42">
        <v>4</v>
      </c>
      <c r="T42">
        <v>5</v>
      </c>
      <c r="U42">
        <v>5</v>
      </c>
      <c r="V42">
        <v>4</v>
      </c>
      <c r="W42" s="188">
        <v>4.25</v>
      </c>
      <c r="X42">
        <v>5</v>
      </c>
      <c r="Y42">
        <v>5</v>
      </c>
      <c r="Z42">
        <v>3</v>
      </c>
      <c r="AA42">
        <v>3</v>
      </c>
      <c r="AB42" s="187">
        <v>4.333333333333333</v>
      </c>
      <c r="AC42" s="160">
        <v>4.1833333333333336</v>
      </c>
      <c r="AD42" s="258">
        <v>8</v>
      </c>
    </row>
    <row r="43" spans="1:30" ht="16" x14ac:dyDescent="0.35">
      <c r="A43" s="102">
        <f>_xlfn.XLOOKUP(B43, 'Open Source Tools'!$E$3:$E$206, 'Open Source Tools'!$A$3:$A$206, "Not found")</f>
        <v>28</v>
      </c>
      <c r="B43" s="9" t="s">
        <v>851</v>
      </c>
      <c r="C43" t="s">
        <v>48</v>
      </c>
      <c r="D43" t="s">
        <v>123</v>
      </c>
      <c r="E43">
        <v>4</v>
      </c>
      <c r="F43">
        <v>3</v>
      </c>
      <c r="G43">
        <v>3</v>
      </c>
      <c r="H43">
        <v>3</v>
      </c>
      <c r="I43">
        <v>3</v>
      </c>
      <c r="J43">
        <v>4</v>
      </c>
      <c r="K43" s="187">
        <v>3.4166666666666665</v>
      </c>
      <c r="L43">
        <v>5</v>
      </c>
      <c r="M43">
        <v>2</v>
      </c>
      <c r="N43">
        <v>5</v>
      </c>
      <c r="O43">
        <v>5</v>
      </c>
      <c r="P43" s="187">
        <v>4.333333333333333</v>
      </c>
      <c r="Q43">
        <v>3</v>
      </c>
      <c r="R43">
        <v>3</v>
      </c>
      <c r="S43">
        <v>4</v>
      </c>
      <c r="T43">
        <v>5</v>
      </c>
      <c r="U43">
        <v>5</v>
      </c>
      <c r="V43">
        <v>3</v>
      </c>
      <c r="W43" s="188">
        <v>3.9166666666666665</v>
      </c>
      <c r="X43">
        <v>5</v>
      </c>
      <c r="Y43">
        <v>5</v>
      </c>
      <c r="Z43">
        <v>3</v>
      </c>
      <c r="AA43">
        <v>4</v>
      </c>
      <c r="AB43" s="187">
        <v>4.416666666666667</v>
      </c>
      <c r="AC43" s="160">
        <v>4.1749999999999998</v>
      </c>
      <c r="AD43" s="258">
        <v>8</v>
      </c>
    </row>
    <row r="44" spans="1:30" ht="16" x14ac:dyDescent="0.35">
      <c r="A44" s="102">
        <f>_xlfn.XLOOKUP(B44, 'Open Source Tools'!$E$3:$E$206, 'Open Source Tools'!$A$3:$A$206, "Not found")</f>
        <v>102</v>
      </c>
      <c r="B44" s="9" t="s">
        <v>1770</v>
      </c>
      <c r="C44" t="s">
        <v>48</v>
      </c>
      <c r="D44" t="s">
        <v>123</v>
      </c>
      <c r="E44">
        <v>3</v>
      </c>
      <c r="F44">
        <v>2</v>
      </c>
      <c r="G44">
        <v>2</v>
      </c>
      <c r="H44">
        <v>3</v>
      </c>
      <c r="I44">
        <v>2</v>
      </c>
      <c r="J44">
        <v>4</v>
      </c>
      <c r="K44" s="187">
        <v>2.8333333333333335</v>
      </c>
      <c r="L44">
        <v>5</v>
      </c>
      <c r="M44">
        <v>5</v>
      </c>
      <c r="N44">
        <v>4</v>
      </c>
      <c r="O44">
        <v>5</v>
      </c>
      <c r="P44" s="187">
        <v>4.7777777777777777</v>
      </c>
      <c r="Q44">
        <v>2</v>
      </c>
      <c r="R44">
        <v>2</v>
      </c>
      <c r="S44">
        <v>4</v>
      </c>
      <c r="T44">
        <v>5</v>
      </c>
      <c r="U44">
        <v>5</v>
      </c>
      <c r="V44">
        <v>3</v>
      </c>
      <c r="W44" s="188">
        <v>3.6666666666666665</v>
      </c>
      <c r="X44">
        <v>5</v>
      </c>
      <c r="Y44">
        <v>5</v>
      </c>
      <c r="Z44">
        <v>3</v>
      </c>
      <c r="AA44">
        <v>3</v>
      </c>
      <c r="AB44" s="187">
        <v>4.333333333333333</v>
      </c>
      <c r="AC44" s="160">
        <v>4.0972222222222214</v>
      </c>
      <c r="AD44" s="258">
        <v>8</v>
      </c>
    </row>
    <row r="45" spans="1:30" ht="16" x14ac:dyDescent="0.4">
      <c r="A45" s="102">
        <f>_xlfn.XLOOKUP(B45, 'Open Source Tools'!$E$3:$E$206, 'Open Source Tools'!$A$3:$A$206, "Not found")</f>
        <v>114</v>
      </c>
      <c r="B45" s="151" t="s">
        <v>1961</v>
      </c>
      <c r="C45" t="s">
        <v>48</v>
      </c>
      <c r="D45" t="s">
        <v>131</v>
      </c>
      <c r="E45">
        <v>2</v>
      </c>
      <c r="F45">
        <v>1</v>
      </c>
      <c r="G45">
        <v>2</v>
      </c>
      <c r="H45">
        <v>3</v>
      </c>
      <c r="I45">
        <v>2</v>
      </c>
      <c r="J45">
        <v>5</v>
      </c>
      <c r="K45" s="187">
        <v>2.75</v>
      </c>
      <c r="L45">
        <v>5</v>
      </c>
      <c r="M45">
        <v>5</v>
      </c>
      <c r="N45">
        <v>4</v>
      </c>
      <c r="O45">
        <v>5</v>
      </c>
      <c r="P45" s="187">
        <v>4.7777777777777777</v>
      </c>
      <c r="Q45">
        <v>5</v>
      </c>
      <c r="R45">
        <v>2</v>
      </c>
      <c r="S45">
        <v>5</v>
      </c>
      <c r="T45">
        <v>5</v>
      </c>
      <c r="U45">
        <v>5</v>
      </c>
      <c r="V45">
        <v>2</v>
      </c>
      <c r="W45" s="188">
        <v>4.25</v>
      </c>
      <c r="X45">
        <v>5</v>
      </c>
      <c r="Y45">
        <v>5</v>
      </c>
      <c r="Z45">
        <v>3</v>
      </c>
      <c r="AA45">
        <v>1</v>
      </c>
      <c r="AB45" s="187">
        <v>4.166666666666667</v>
      </c>
      <c r="AC45" s="160">
        <v>4.0888888888888886</v>
      </c>
      <c r="AD45" s="258">
        <v>8</v>
      </c>
    </row>
    <row r="46" spans="1:30" ht="16" x14ac:dyDescent="0.35">
      <c r="A46" s="102">
        <f>_xlfn.XLOOKUP(B46, 'Open Source Tools'!$E$3:$E$206, 'Open Source Tools'!$A$3:$A$206, "Not found")</f>
        <v>116</v>
      </c>
      <c r="B46" s="9" t="s">
        <v>1988</v>
      </c>
      <c r="C46" t="s">
        <v>48</v>
      </c>
      <c r="D46" t="s">
        <v>131</v>
      </c>
      <c r="E46">
        <v>1</v>
      </c>
      <c r="F46">
        <v>1</v>
      </c>
      <c r="G46">
        <v>1</v>
      </c>
      <c r="H46">
        <v>3</v>
      </c>
      <c r="I46">
        <v>1</v>
      </c>
      <c r="J46">
        <v>4</v>
      </c>
      <c r="K46" s="187">
        <v>2.0833333333333335</v>
      </c>
      <c r="L46">
        <v>5</v>
      </c>
      <c r="M46">
        <v>2</v>
      </c>
      <c r="N46">
        <v>5</v>
      </c>
      <c r="O46">
        <v>5</v>
      </c>
      <c r="P46" s="187">
        <v>4.333333333333333</v>
      </c>
      <c r="Q46">
        <v>4</v>
      </c>
      <c r="R46">
        <v>2</v>
      </c>
      <c r="S46">
        <v>2</v>
      </c>
      <c r="T46">
        <v>5</v>
      </c>
      <c r="U46">
        <v>5</v>
      </c>
      <c r="V46">
        <v>1</v>
      </c>
      <c r="W46" s="188">
        <v>3.1666666666666665</v>
      </c>
      <c r="X46">
        <v>5</v>
      </c>
      <c r="Y46">
        <v>5</v>
      </c>
      <c r="Z46">
        <v>3</v>
      </c>
      <c r="AA46">
        <v>4</v>
      </c>
      <c r="AB46" s="187">
        <v>4.416666666666667</v>
      </c>
      <c r="AC46" s="160">
        <v>3.8625000000000003</v>
      </c>
      <c r="AD46" s="258">
        <v>7</v>
      </c>
    </row>
    <row r="47" spans="1:30" ht="16" x14ac:dyDescent="0.35">
      <c r="A47" s="102">
        <f>_xlfn.XLOOKUP(B47, 'Open Source Tools'!$E$3:$E$206, 'Open Source Tools'!$A$3:$A$206, "Not found")</f>
        <v>118</v>
      </c>
      <c r="B47" s="9" t="s">
        <v>2018</v>
      </c>
      <c r="C47" t="s">
        <v>48</v>
      </c>
      <c r="D47" t="s">
        <v>131</v>
      </c>
      <c r="E47">
        <v>3</v>
      </c>
      <c r="F47">
        <v>2</v>
      </c>
      <c r="G47">
        <v>2</v>
      </c>
      <c r="H47">
        <v>3</v>
      </c>
      <c r="I47">
        <v>3</v>
      </c>
      <c r="J47">
        <v>4</v>
      </c>
      <c r="K47" s="187">
        <v>3</v>
      </c>
      <c r="L47">
        <v>5</v>
      </c>
      <c r="M47">
        <v>4</v>
      </c>
      <c r="N47">
        <v>4</v>
      </c>
      <c r="O47">
        <v>3</v>
      </c>
      <c r="P47" s="187">
        <v>4.1111111111111107</v>
      </c>
      <c r="Q47">
        <v>4</v>
      </c>
      <c r="R47">
        <v>2</v>
      </c>
      <c r="S47">
        <v>4</v>
      </c>
      <c r="T47">
        <v>5</v>
      </c>
      <c r="U47">
        <v>5</v>
      </c>
      <c r="V47">
        <v>3</v>
      </c>
      <c r="W47" s="188">
        <v>4</v>
      </c>
      <c r="X47">
        <v>3</v>
      </c>
      <c r="Y47">
        <v>5</v>
      </c>
      <c r="Z47">
        <v>3</v>
      </c>
      <c r="AA47">
        <v>3</v>
      </c>
      <c r="AB47" s="187">
        <v>3.5</v>
      </c>
      <c r="AC47" s="160">
        <v>3.6222222222222222</v>
      </c>
      <c r="AD47" s="258">
        <v>7</v>
      </c>
    </row>
    <row r="48" spans="1:30" ht="16" x14ac:dyDescent="0.4">
      <c r="A48" s="102">
        <f>_xlfn.XLOOKUP(B48, 'Open Source Tools'!$E$3:$E$206, 'Open Source Tools'!$A$3:$A$206, "Not found")</f>
        <v>137</v>
      </c>
      <c r="B48" s="151" t="s">
        <v>2284</v>
      </c>
      <c r="C48" t="s">
        <v>48</v>
      </c>
      <c r="D48" t="s">
        <v>140</v>
      </c>
      <c r="E48">
        <v>4</v>
      </c>
      <c r="F48">
        <v>4</v>
      </c>
      <c r="G48">
        <v>3</v>
      </c>
      <c r="H48">
        <v>4</v>
      </c>
      <c r="I48">
        <v>4</v>
      </c>
      <c r="J48">
        <v>5</v>
      </c>
      <c r="K48" s="187">
        <v>4.166666666666667</v>
      </c>
      <c r="L48">
        <v>5</v>
      </c>
      <c r="M48">
        <v>5</v>
      </c>
      <c r="N48">
        <v>4</v>
      </c>
      <c r="O48">
        <v>5</v>
      </c>
      <c r="P48" s="187">
        <v>4.7777777777777777</v>
      </c>
      <c r="Q48">
        <v>5</v>
      </c>
      <c r="R48">
        <v>3</v>
      </c>
      <c r="S48">
        <v>4</v>
      </c>
      <c r="T48">
        <v>5</v>
      </c>
      <c r="U48">
        <v>5</v>
      </c>
      <c r="V48">
        <v>3</v>
      </c>
      <c r="W48" s="188">
        <v>4.25</v>
      </c>
      <c r="X48">
        <v>5</v>
      </c>
      <c r="Y48">
        <v>5</v>
      </c>
      <c r="Z48">
        <v>4</v>
      </c>
      <c r="AA48">
        <v>3</v>
      </c>
      <c r="AB48" s="187">
        <v>4.583333333333333</v>
      </c>
      <c r="AC48" s="160">
        <v>4.5097222222222229</v>
      </c>
      <c r="AD48" s="258">
        <v>9</v>
      </c>
    </row>
    <row r="49" spans="1:30" ht="16" x14ac:dyDescent="0.35">
      <c r="A49" s="102">
        <f>_xlfn.XLOOKUP(B49, 'Open Source Tools'!$E$3:$E$206, 'Open Source Tools'!$A$3:$A$206, "Not found")</f>
        <v>135</v>
      </c>
      <c r="B49" s="9" t="s">
        <v>2257</v>
      </c>
      <c r="C49" t="s">
        <v>48</v>
      </c>
      <c r="D49" t="s">
        <v>140</v>
      </c>
      <c r="E49">
        <v>4</v>
      </c>
      <c r="F49">
        <v>3</v>
      </c>
      <c r="G49">
        <v>3</v>
      </c>
      <c r="H49">
        <v>4</v>
      </c>
      <c r="I49">
        <v>4</v>
      </c>
      <c r="J49">
        <v>5</v>
      </c>
      <c r="K49" s="187">
        <v>4</v>
      </c>
      <c r="L49">
        <v>3</v>
      </c>
      <c r="M49">
        <v>5</v>
      </c>
      <c r="N49">
        <v>4</v>
      </c>
      <c r="O49">
        <v>5</v>
      </c>
      <c r="P49" s="187">
        <v>4.1111111111111107</v>
      </c>
      <c r="Q49">
        <v>3</v>
      </c>
      <c r="R49">
        <v>4</v>
      </c>
      <c r="S49">
        <v>4</v>
      </c>
      <c r="T49">
        <v>5</v>
      </c>
      <c r="U49">
        <v>5</v>
      </c>
      <c r="V49">
        <v>5</v>
      </c>
      <c r="W49" s="188">
        <v>4.333333333333333</v>
      </c>
      <c r="X49">
        <v>5</v>
      </c>
      <c r="Y49">
        <v>5</v>
      </c>
      <c r="Z49">
        <v>4</v>
      </c>
      <c r="AA49">
        <v>5</v>
      </c>
      <c r="AB49" s="187">
        <v>4.75</v>
      </c>
      <c r="AC49" s="160">
        <v>4.447222222222222</v>
      </c>
      <c r="AD49" s="258">
        <v>8</v>
      </c>
    </row>
    <row r="50" spans="1:30" ht="16" x14ac:dyDescent="0.35">
      <c r="A50" s="102">
        <f>_xlfn.XLOOKUP(B50, 'Open Source Tools'!$E$3:$E$206, 'Open Source Tools'!$A$3:$A$206, "Not found")</f>
        <v>134</v>
      </c>
      <c r="B50" s="9" t="s">
        <v>2245</v>
      </c>
      <c r="C50" t="s">
        <v>48</v>
      </c>
      <c r="D50" t="s">
        <v>140</v>
      </c>
      <c r="E50">
        <v>5</v>
      </c>
      <c r="F50">
        <v>4</v>
      </c>
      <c r="G50">
        <v>3</v>
      </c>
      <c r="H50">
        <v>5</v>
      </c>
      <c r="I50">
        <v>5</v>
      </c>
      <c r="J50">
        <v>5</v>
      </c>
      <c r="K50" s="187">
        <v>4.666666666666667</v>
      </c>
      <c r="L50">
        <v>5</v>
      </c>
      <c r="M50">
        <v>3</v>
      </c>
      <c r="N50">
        <v>4</v>
      </c>
      <c r="O50">
        <v>5</v>
      </c>
      <c r="P50" s="187">
        <v>4.333333333333333</v>
      </c>
      <c r="Q50">
        <v>4</v>
      </c>
      <c r="R50">
        <v>4</v>
      </c>
      <c r="S50">
        <v>4</v>
      </c>
      <c r="T50">
        <v>5</v>
      </c>
      <c r="U50">
        <v>5</v>
      </c>
      <c r="V50">
        <v>5</v>
      </c>
      <c r="W50" s="188">
        <v>4.5</v>
      </c>
      <c r="X50">
        <v>5</v>
      </c>
      <c r="Y50">
        <v>5</v>
      </c>
      <c r="Z50">
        <v>3</v>
      </c>
      <c r="AA50">
        <v>1</v>
      </c>
      <c r="AB50" s="187">
        <v>4.166666666666667</v>
      </c>
      <c r="AC50" s="160">
        <v>4.3250000000000002</v>
      </c>
      <c r="AD50" s="258">
        <v>8</v>
      </c>
    </row>
    <row r="51" spans="1:30" ht="16" x14ac:dyDescent="0.35">
      <c r="A51" s="102">
        <f>_xlfn.XLOOKUP(B51, 'Open Source Tools'!$E$3:$E$206, 'Open Source Tools'!$A$3:$A$206, "Not found")</f>
        <v>107</v>
      </c>
      <c r="B51" s="9" t="s">
        <v>1845</v>
      </c>
      <c r="C51" t="s">
        <v>48</v>
      </c>
      <c r="D51" t="s">
        <v>128</v>
      </c>
      <c r="E51">
        <v>3</v>
      </c>
      <c r="F51">
        <v>3</v>
      </c>
      <c r="G51">
        <v>3</v>
      </c>
      <c r="H51">
        <v>4</v>
      </c>
      <c r="I51">
        <v>3</v>
      </c>
      <c r="J51">
        <v>4</v>
      </c>
      <c r="K51" s="187">
        <v>3.4166666666666665</v>
      </c>
      <c r="L51">
        <v>5</v>
      </c>
      <c r="M51">
        <v>4</v>
      </c>
      <c r="N51">
        <v>5</v>
      </c>
      <c r="O51">
        <v>5</v>
      </c>
      <c r="P51" s="187">
        <v>4.7777777777777777</v>
      </c>
      <c r="Q51">
        <v>3</v>
      </c>
      <c r="R51">
        <v>3</v>
      </c>
      <c r="S51">
        <v>5</v>
      </c>
      <c r="T51">
        <v>5</v>
      </c>
      <c r="U51">
        <v>5</v>
      </c>
      <c r="V51">
        <v>3</v>
      </c>
      <c r="W51" s="188">
        <v>4.166666666666667</v>
      </c>
      <c r="X51">
        <v>5</v>
      </c>
      <c r="Y51">
        <v>5</v>
      </c>
      <c r="Z51">
        <v>5</v>
      </c>
      <c r="AA51">
        <v>3</v>
      </c>
      <c r="AB51" s="187">
        <v>4.833333333333333</v>
      </c>
      <c r="AC51" s="160">
        <v>4.509722222222222</v>
      </c>
      <c r="AD51" s="258">
        <v>9</v>
      </c>
    </row>
    <row r="52" spans="1:30" ht="16" x14ac:dyDescent="0.35">
      <c r="A52" s="102">
        <f>_xlfn.XLOOKUP(B52, 'Open Source Tools'!$E$3:$E$206, 'Open Source Tools'!$A$3:$A$206, "Not found")</f>
        <v>109</v>
      </c>
      <c r="B52" s="9" t="s">
        <v>1874</v>
      </c>
      <c r="C52" t="s">
        <v>48</v>
      </c>
      <c r="D52" t="s">
        <v>128</v>
      </c>
      <c r="E52">
        <v>3</v>
      </c>
      <c r="F52">
        <v>3</v>
      </c>
      <c r="G52">
        <v>3</v>
      </c>
      <c r="H52">
        <v>3</v>
      </c>
      <c r="I52">
        <v>3</v>
      </c>
      <c r="J52">
        <v>3</v>
      </c>
      <c r="K52" s="187">
        <v>3</v>
      </c>
      <c r="L52">
        <v>5</v>
      </c>
      <c r="M52">
        <v>3</v>
      </c>
      <c r="N52">
        <v>4</v>
      </c>
      <c r="O52">
        <v>5</v>
      </c>
      <c r="P52" s="187">
        <v>4.333333333333333</v>
      </c>
      <c r="Q52">
        <v>4</v>
      </c>
      <c r="R52">
        <v>2</v>
      </c>
      <c r="S52">
        <v>5</v>
      </c>
      <c r="T52">
        <v>1</v>
      </c>
      <c r="U52">
        <v>1</v>
      </c>
      <c r="V52">
        <v>3</v>
      </c>
      <c r="W52" s="188">
        <v>2.9166666666666665</v>
      </c>
      <c r="X52">
        <v>5</v>
      </c>
      <c r="Y52">
        <v>3</v>
      </c>
      <c r="Z52">
        <v>4</v>
      </c>
      <c r="AA52">
        <v>5</v>
      </c>
      <c r="AB52" s="187">
        <v>4.25</v>
      </c>
      <c r="AC52" s="160">
        <v>3.8791666666666664</v>
      </c>
      <c r="AD52" s="258">
        <v>7</v>
      </c>
    </row>
    <row r="53" spans="1:30" ht="16" x14ac:dyDescent="0.35">
      <c r="A53" s="102">
        <f>_xlfn.XLOOKUP(B53, 'Open Source Tools'!$E$3:$E$206, 'Open Source Tools'!$A$3:$A$206, "Not found")</f>
        <v>127</v>
      </c>
      <c r="B53" s="9" t="s">
        <v>2148</v>
      </c>
      <c r="C53" t="s">
        <v>48</v>
      </c>
      <c r="D53" t="s">
        <v>137</v>
      </c>
      <c r="E53">
        <v>2</v>
      </c>
      <c r="F53">
        <v>2</v>
      </c>
      <c r="G53">
        <v>2</v>
      </c>
      <c r="H53">
        <v>2</v>
      </c>
      <c r="I53">
        <v>2</v>
      </c>
      <c r="J53">
        <v>3</v>
      </c>
      <c r="K53" s="187">
        <v>2.25</v>
      </c>
      <c r="L53">
        <v>5</v>
      </c>
      <c r="M53">
        <v>2</v>
      </c>
      <c r="N53">
        <v>4</v>
      </c>
      <c r="O53">
        <v>5</v>
      </c>
      <c r="P53" s="187">
        <v>4.1111111111111107</v>
      </c>
      <c r="Q53">
        <v>5</v>
      </c>
      <c r="R53">
        <v>2</v>
      </c>
      <c r="S53">
        <v>1</v>
      </c>
      <c r="T53">
        <v>5</v>
      </c>
      <c r="U53">
        <v>2</v>
      </c>
      <c r="V53">
        <v>3</v>
      </c>
      <c r="W53" s="188">
        <v>2.9166666666666665</v>
      </c>
      <c r="X53">
        <v>5</v>
      </c>
      <c r="Y53">
        <v>5</v>
      </c>
      <c r="Z53">
        <v>4</v>
      </c>
      <c r="AA53">
        <v>3</v>
      </c>
      <c r="AB53" s="187">
        <v>4.583333333333333</v>
      </c>
      <c r="AC53" s="160">
        <v>3.8888888888888884</v>
      </c>
      <c r="AD53" s="258">
        <v>7</v>
      </c>
    </row>
    <row r="54" spans="1:30" ht="16" x14ac:dyDescent="0.35">
      <c r="A54" s="102">
        <f>_xlfn.XLOOKUP(B54, 'Open Source Tools'!$E$3:$E$206, 'Open Source Tools'!$A$3:$A$206, "Not found")</f>
        <v>125</v>
      </c>
      <c r="B54" s="9" t="s">
        <v>2123</v>
      </c>
      <c r="C54" t="s">
        <v>48</v>
      </c>
      <c r="D54" t="s">
        <v>137</v>
      </c>
      <c r="E54">
        <v>2</v>
      </c>
      <c r="F54">
        <v>1</v>
      </c>
      <c r="G54">
        <v>2</v>
      </c>
      <c r="H54">
        <v>3</v>
      </c>
      <c r="I54">
        <v>1</v>
      </c>
      <c r="J54">
        <v>5</v>
      </c>
      <c r="K54" s="187">
        <v>2.5833333333333335</v>
      </c>
      <c r="L54">
        <v>5</v>
      </c>
      <c r="M54">
        <v>4</v>
      </c>
      <c r="N54">
        <v>4</v>
      </c>
      <c r="O54">
        <v>5</v>
      </c>
      <c r="P54" s="187">
        <v>4.5555555555555554</v>
      </c>
      <c r="Q54">
        <v>4</v>
      </c>
      <c r="R54">
        <v>2</v>
      </c>
      <c r="S54">
        <v>5</v>
      </c>
      <c r="T54">
        <v>5</v>
      </c>
      <c r="U54">
        <v>5</v>
      </c>
      <c r="V54">
        <v>2</v>
      </c>
      <c r="W54" s="188">
        <v>4.083333333333333</v>
      </c>
      <c r="X54">
        <v>3</v>
      </c>
      <c r="Y54">
        <v>5</v>
      </c>
      <c r="Z54">
        <v>3</v>
      </c>
      <c r="AA54">
        <v>3</v>
      </c>
      <c r="AB54" s="187">
        <v>3.5</v>
      </c>
      <c r="AC54" s="160">
        <v>3.661111111111111</v>
      </c>
      <c r="AD54" s="258">
        <v>7</v>
      </c>
    </row>
    <row r="55" spans="1:30" ht="16" x14ac:dyDescent="0.35">
      <c r="A55" s="102">
        <f>_xlfn.XLOOKUP(B55, 'Open Source Tools'!$E$3:$E$206, 'Open Source Tools'!$A$3:$A$206, "Not found")</f>
        <v>124</v>
      </c>
      <c r="B55" s="9" t="s">
        <v>2108</v>
      </c>
      <c r="C55" t="s">
        <v>48</v>
      </c>
      <c r="D55" t="s">
        <v>137</v>
      </c>
      <c r="E55">
        <v>3</v>
      </c>
      <c r="F55">
        <v>2</v>
      </c>
      <c r="G55">
        <v>2</v>
      </c>
      <c r="H55">
        <v>2</v>
      </c>
      <c r="I55">
        <v>1</v>
      </c>
      <c r="J55">
        <v>4</v>
      </c>
      <c r="K55" s="187">
        <v>2.5</v>
      </c>
      <c r="L55">
        <v>5</v>
      </c>
      <c r="M55">
        <v>4</v>
      </c>
      <c r="N55">
        <v>5</v>
      </c>
      <c r="O55">
        <v>3</v>
      </c>
      <c r="P55" s="187">
        <v>4.333333333333333</v>
      </c>
      <c r="Q55">
        <v>4</v>
      </c>
      <c r="R55">
        <v>1</v>
      </c>
      <c r="S55">
        <v>4</v>
      </c>
      <c r="T55">
        <v>1</v>
      </c>
      <c r="U55">
        <v>1</v>
      </c>
      <c r="V55">
        <v>1</v>
      </c>
      <c r="W55" s="188">
        <v>2.25</v>
      </c>
      <c r="X55">
        <v>5</v>
      </c>
      <c r="Y55">
        <v>3</v>
      </c>
      <c r="Z55">
        <v>3</v>
      </c>
      <c r="AA55">
        <v>1</v>
      </c>
      <c r="AB55" s="187">
        <v>3.6666666666666665</v>
      </c>
      <c r="AC55" s="160">
        <v>3.4124999999999996</v>
      </c>
      <c r="AD55" s="258">
        <v>6</v>
      </c>
    </row>
    <row r="56" spans="1:30" ht="16" x14ac:dyDescent="0.35">
      <c r="A56" s="102">
        <f>_xlfn.XLOOKUP(B56, 'Open Source Tools'!$E$3:$E$206, 'Open Source Tools'!$A$3:$A$206, "Not found")</f>
        <v>91</v>
      </c>
      <c r="B56" s="9" t="s">
        <v>1626</v>
      </c>
      <c r="C56" t="s">
        <v>82</v>
      </c>
      <c r="D56" t="s">
        <v>398</v>
      </c>
      <c r="E56">
        <v>2</v>
      </c>
      <c r="F56">
        <v>1</v>
      </c>
      <c r="G56">
        <v>2</v>
      </c>
      <c r="H56">
        <v>1</v>
      </c>
      <c r="I56">
        <v>1</v>
      </c>
      <c r="J56">
        <v>3</v>
      </c>
      <c r="K56" s="187">
        <v>1.75</v>
      </c>
      <c r="L56">
        <v>5</v>
      </c>
      <c r="M56">
        <v>5</v>
      </c>
      <c r="N56">
        <v>4</v>
      </c>
      <c r="O56">
        <v>5</v>
      </c>
      <c r="P56" s="187">
        <v>4.7777777777777777</v>
      </c>
      <c r="Q56">
        <v>5</v>
      </c>
      <c r="R56">
        <v>1</v>
      </c>
      <c r="S56">
        <v>1</v>
      </c>
      <c r="T56">
        <v>1</v>
      </c>
      <c r="U56">
        <v>1</v>
      </c>
      <c r="V56">
        <v>2</v>
      </c>
      <c r="W56" s="188">
        <v>1.8333333333333333</v>
      </c>
      <c r="X56">
        <v>1</v>
      </c>
      <c r="Y56">
        <v>3</v>
      </c>
      <c r="Z56">
        <v>2</v>
      </c>
      <c r="AA56">
        <v>1</v>
      </c>
      <c r="AB56" s="187">
        <v>1.75</v>
      </c>
      <c r="AC56" s="160">
        <v>2.3680555555555554</v>
      </c>
      <c r="AD56" s="258">
        <v>4</v>
      </c>
    </row>
    <row r="57" spans="1:30" ht="16" x14ac:dyDescent="0.35">
      <c r="A57" s="102">
        <f>_xlfn.XLOOKUP(B57, 'Open Source Tools'!$E$3:$E$206, 'Open Source Tools'!$A$3:$A$206, "Not found")</f>
        <v>90</v>
      </c>
      <c r="B57" s="9" t="s">
        <v>1617</v>
      </c>
      <c r="C57" t="s">
        <v>82</v>
      </c>
      <c r="D57" t="s">
        <v>398</v>
      </c>
      <c r="E57">
        <v>1</v>
      </c>
      <c r="F57">
        <v>1</v>
      </c>
      <c r="G57">
        <v>2</v>
      </c>
      <c r="H57">
        <v>1</v>
      </c>
      <c r="I57">
        <v>1</v>
      </c>
      <c r="J57">
        <v>1</v>
      </c>
      <c r="K57" s="187">
        <v>1.0833333333333333</v>
      </c>
      <c r="L57">
        <v>5</v>
      </c>
      <c r="M57">
        <v>3</v>
      </c>
      <c r="N57">
        <v>4</v>
      </c>
      <c r="O57">
        <v>1</v>
      </c>
      <c r="P57" s="187">
        <v>3.4444444444444446</v>
      </c>
      <c r="Q57">
        <v>3</v>
      </c>
      <c r="R57">
        <v>1</v>
      </c>
      <c r="S57">
        <v>1</v>
      </c>
      <c r="T57">
        <v>1</v>
      </c>
      <c r="U57">
        <v>1</v>
      </c>
      <c r="V57">
        <v>1</v>
      </c>
      <c r="W57" s="188">
        <v>1.3333333333333333</v>
      </c>
      <c r="X57">
        <v>1</v>
      </c>
      <c r="Y57">
        <v>1</v>
      </c>
      <c r="Z57">
        <v>1</v>
      </c>
      <c r="AA57">
        <v>1</v>
      </c>
      <c r="AB57" s="187">
        <v>1</v>
      </c>
      <c r="AC57" s="160">
        <v>1.5513888888888889</v>
      </c>
      <c r="AD57" s="258">
        <v>2</v>
      </c>
    </row>
    <row r="58" spans="1:30" ht="16" x14ac:dyDescent="0.35">
      <c r="A58" s="102">
        <f>_xlfn.XLOOKUP(B58, 'Open Source Tools'!$E$3:$E$206, 'Open Source Tools'!$A$3:$A$206, "Not found")</f>
        <v>88</v>
      </c>
      <c r="B58" s="9" t="s">
        <v>1595</v>
      </c>
      <c r="C58" t="s">
        <v>82</v>
      </c>
      <c r="D58" t="s">
        <v>393</v>
      </c>
      <c r="E58">
        <v>1</v>
      </c>
      <c r="F58">
        <v>1</v>
      </c>
      <c r="G58">
        <v>1</v>
      </c>
      <c r="H58">
        <v>2</v>
      </c>
      <c r="I58">
        <v>1</v>
      </c>
      <c r="J58">
        <v>1</v>
      </c>
      <c r="K58" s="187">
        <v>1.1666666666666667</v>
      </c>
      <c r="L58">
        <v>1</v>
      </c>
      <c r="M58">
        <v>4</v>
      </c>
      <c r="N58">
        <v>4</v>
      </c>
      <c r="O58">
        <v>3</v>
      </c>
      <c r="P58" s="187">
        <v>2.7777777777777777</v>
      </c>
      <c r="Q58">
        <v>5</v>
      </c>
      <c r="R58">
        <v>1</v>
      </c>
      <c r="S58">
        <v>1</v>
      </c>
      <c r="T58">
        <v>1</v>
      </c>
      <c r="U58">
        <v>1</v>
      </c>
      <c r="V58">
        <v>2</v>
      </c>
      <c r="W58" s="188">
        <v>1.8333333333333333</v>
      </c>
      <c r="X58">
        <v>3</v>
      </c>
      <c r="Y58">
        <v>3</v>
      </c>
      <c r="Z58">
        <v>2</v>
      </c>
      <c r="AA58">
        <v>3</v>
      </c>
      <c r="AB58" s="187">
        <v>2.75</v>
      </c>
      <c r="AC58" s="160">
        <v>2.3805555555555555</v>
      </c>
      <c r="AD58" s="258">
        <v>4</v>
      </c>
    </row>
    <row r="59" spans="1:30" ht="16" x14ac:dyDescent="0.4">
      <c r="A59" s="102">
        <f>_xlfn.XLOOKUP(B59, 'Open Source Tools'!$E$3:$E$206, 'Open Source Tools'!$A$3:$A$206, "Not found")</f>
        <v>191</v>
      </c>
      <c r="B59" s="151" t="s">
        <v>2978</v>
      </c>
      <c r="C59" t="s">
        <v>63</v>
      </c>
      <c r="D59" t="s">
        <v>225</v>
      </c>
      <c r="E59">
        <v>3</v>
      </c>
      <c r="F59">
        <v>2</v>
      </c>
      <c r="G59">
        <v>2</v>
      </c>
      <c r="H59">
        <v>4</v>
      </c>
      <c r="I59">
        <v>3</v>
      </c>
      <c r="J59">
        <v>5</v>
      </c>
      <c r="K59" s="187">
        <v>3.4166666666666665</v>
      </c>
      <c r="L59">
        <v>5</v>
      </c>
      <c r="M59">
        <v>5</v>
      </c>
      <c r="N59">
        <v>5</v>
      </c>
      <c r="O59">
        <v>5</v>
      </c>
      <c r="P59" s="187">
        <v>5</v>
      </c>
      <c r="Q59">
        <v>5</v>
      </c>
      <c r="R59">
        <v>2</v>
      </c>
      <c r="S59">
        <v>5</v>
      </c>
      <c r="T59">
        <v>5</v>
      </c>
      <c r="U59">
        <v>5</v>
      </c>
      <c r="V59">
        <v>3</v>
      </c>
      <c r="W59" s="188">
        <v>4.416666666666667</v>
      </c>
      <c r="X59">
        <v>5</v>
      </c>
      <c r="Y59">
        <v>5</v>
      </c>
      <c r="Z59">
        <v>4</v>
      </c>
      <c r="AA59">
        <v>4</v>
      </c>
      <c r="AB59" s="187">
        <v>4.666666666666667</v>
      </c>
      <c r="AC59" s="160">
        <v>4.5083333333333329</v>
      </c>
      <c r="AD59" s="258">
        <v>9</v>
      </c>
    </row>
    <row r="60" spans="1:30" ht="16" x14ac:dyDescent="0.35">
      <c r="A60" s="102">
        <f>_xlfn.XLOOKUP(B60, 'Open Source Tools'!$E$3:$E$206, 'Open Source Tools'!$A$3:$A$206, "Not found")</f>
        <v>194</v>
      </c>
      <c r="B60" s="9" t="s">
        <v>3020</v>
      </c>
      <c r="C60" t="s">
        <v>63</v>
      </c>
      <c r="D60" t="s">
        <v>225</v>
      </c>
      <c r="E60">
        <v>4</v>
      </c>
      <c r="F60">
        <v>3</v>
      </c>
      <c r="G60">
        <v>2</v>
      </c>
      <c r="H60">
        <v>3</v>
      </c>
      <c r="I60">
        <v>3</v>
      </c>
      <c r="J60">
        <v>5</v>
      </c>
      <c r="K60" s="187">
        <v>3.5833333333333335</v>
      </c>
      <c r="L60">
        <v>5</v>
      </c>
      <c r="M60">
        <v>5</v>
      </c>
      <c r="N60">
        <v>4</v>
      </c>
      <c r="O60">
        <v>5</v>
      </c>
      <c r="P60" s="187">
        <v>4.7777777777777777</v>
      </c>
      <c r="Q60">
        <v>5</v>
      </c>
      <c r="R60">
        <v>2</v>
      </c>
      <c r="S60">
        <v>1</v>
      </c>
      <c r="T60">
        <v>5</v>
      </c>
      <c r="U60">
        <v>5</v>
      </c>
      <c r="V60">
        <v>3</v>
      </c>
      <c r="W60" s="188">
        <v>3.4166666666666665</v>
      </c>
      <c r="X60">
        <v>5</v>
      </c>
      <c r="Y60">
        <v>5</v>
      </c>
      <c r="Z60">
        <v>4</v>
      </c>
      <c r="AA60">
        <v>4</v>
      </c>
      <c r="AB60" s="187">
        <v>4.666666666666667</v>
      </c>
      <c r="AC60" s="160">
        <v>4.3388888888888886</v>
      </c>
      <c r="AD60" s="258">
        <v>8</v>
      </c>
    </row>
    <row r="61" spans="1:30" ht="16" x14ac:dyDescent="0.35">
      <c r="A61" s="102">
        <f>_xlfn.XLOOKUP(B61, 'Open Source Tools'!$E$3:$E$206, 'Open Source Tools'!$A$3:$A$206, "Not found")</f>
        <v>193</v>
      </c>
      <c r="B61" s="9" t="s">
        <v>3006</v>
      </c>
      <c r="C61" t="s">
        <v>63</v>
      </c>
      <c r="D61" t="s">
        <v>225</v>
      </c>
      <c r="E61">
        <v>4</v>
      </c>
      <c r="F61">
        <v>3</v>
      </c>
      <c r="G61">
        <v>3</v>
      </c>
      <c r="H61">
        <v>4</v>
      </c>
      <c r="I61">
        <v>4</v>
      </c>
      <c r="J61">
        <v>4</v>
      </c>
      <c r="K61" s="187">
        <v>3.75</v>
      </c>
      <c r="L61">
        <v>3</v>
      </c>
      <c r="M61">
        <v>3</v>
      </c>
      <c r="N61">
        <v>4</v>
      </c>
      <c r="O61">
        <v>5</v>
      </c>
      <c r="P61" s="187">
        <v>3.6666666666666665</v>
      </c>
      <c r="Q61">
        <v>5</v>
      </c>
      <c r="R61">
        <v>2</v>
      </c>
      <c r="S61">
        <v>3</v>
      </c>
      <c r="T61">
        <v>5</v>
      </c>
      <c r="U61">
        <v>2</v>
      </c>
      <c r="V61">
        <v>4</v>
      </c>
      <c r="W61" s="188">
        <v>3.5833333333333335</v>
      </c>
      <c r="X61">
        <v>5</v>
      </c>
      <c r="Y61">
        <v>5</v>
      </c>
      <c r="Z61">
        <v>5</v>
      </c>
      <c r="AA61">
        <v>4</v>
      </c>
      <c r="AB61" s="187">
        <v>4.916666666666667</v>
      </c>
      <c r="AC61" s="160">
        <v>4.291666666666667</v>
      </c>
      <c r="AD61" s="258">
        <v>8</v>
      </c>
    </row>
    <row r="62" spans="1:30" ht="16" x14ac:dyDescent="0.35">
      <c r="A62" s="102">
        <f>_xlfn.XLOOKUP(B62, 'Open Source Tools'!$E$3:$E$206, 'Open Source Tools'!$A$3:$A$206, "Not found")</f>
        <v>200</v>
      </c>
      <c r="B62" s="9" t="s">
        <v>1891</v>
      </c>
      <c r="C62" t="s">
        <v>66</v>
      </c>
      <c r="D62" t="s">
        <v>3444</v>
      </c>
      <c r="E62">
        <v>4</v>
      </c>
      <c r="F62">
        <v>3</v>
      </c>
      <c r="G62">
        <v>3</v>
      </c>
      <c r="H62">
        <v>4</v>
      </c>
      <c r="I62">
        <v>5</v>
      </c>
      <c r="J62">
        <v>4</v>
      </c>
      <c r="K62" s="187">
        <v>3.9166666666666665</v>
      </c>
      <c r="L62">
        <v>5</v>
      </c>
      <c r="M62">
        <v>2</v>
      </c>
      <c r="N62">
        <v>5</v>
      </c>
      <c r="O62">
        <v>5</v>
      </c>
      <c r="P62" s="187">
        <v>4.333333333333333</v>
      </c>
      <c r="Q62">
        <v>4</v>
      </c>
      <c r="R62">
        <v>4</v>
      </c>
      <c r="S62">
        <v>5</v>
      </c>
      <c r="T62">
        <v>5</v>
      </c>
      <c r="U62">
        <v>5</v>
      </c>
      <c r="V62">
        <v>4</v>
      </c>
      <c r="W62" s="188">
        <v>4.583333333333333</v>
      </c>
      <c r="X62">
        <v>5</v>
      </c>
      <c r="Y62">
        <v>5</v>
      </c>
      <c r="Z62">
        <v>3</v>
      </c>
      <c r="AA62">
        <v>5</v>
      </c>
      <c r="AB62" s="188">
        <v>4.5</v>
      </c>
      <c r="AC62" s="369">
        <v>4.3916666666666666</v>
      </c>
      <c r="AD62" s="256">
        <v>8</v>
      </c>
    </row>
    <row r="63" spans="1:30" ht="16" x14ac:dyDescent="0.35">
      <c r="A63" s="102">
        <f>_xlfn.XLOOKUP(B63, 'Open Source Tools'!$E$3:$E$206, 'Open Source Tools'!$A$3:$A$206, "Not found")</f>
        <v>204</v>
      </c>
      <c r="B63" s="362" t="s">
        <v>3421</v>
      </c>
      <c r="C63" t="s">
        <v>66</v>
      </c>
      <c r="D63" t="s">
        <v>3444</v>
      </c>
      <c r="E63">
        <v>3</v>
      </c>
      <c r="F63">
        <v>2</v>
      </c>
      <c r="G63">
        <v>2</v>
      </c>
      <c r="H63">
        <v>1</v>
      </c>
      <c r="I63">
        <v>2</v>
      </c>
      <c r="J63">
        <v>3</v>
      </c>
      <c r="K63" s="187">
        <v>2.25</v>
      </c>
      <c r="L63">
        <v>5</v>
      </c>
      <c r="M63">
        <v>2</v>
      </c>
      <c r="N63">
        <v>5</v>
      </c>
      <c r="O63">
        <v>5</v>
      </c>
      <c r="P63" s="187">
        <v>4.333333333333333</v>
      </c>
      <c r="Q63">
        <v>5</v>
      </c>
      <c r="R63">
        <v>5</v>
      </c>
      <c r="S63">
        <v>1</v>
      </c>
      <c r="T63">
        <v>1</v>
      </c>
      <c r="U63">
        <v>5</v>
      </c>
      <c r="V63">
        <v>5</v>
      </c>
      <c r="W63" s="187">
        <v>3.3333333333333335</v>
      </c>
      <c r="X63">
        <v>4</v>
      </c>
      <c r="Y63">
        <v>3</v>
      </c>
      <c r="Z63">
        <v>4</v>
      </c>
      <c r="AA63">
        <v>5</v>
      </c>
      <c r="AB63" s="187">
        <v>3.8333333333333335</v>
      </c>
      <c r="AC63" s="367">
        <v>3.6208333333333336</v>
      </c>
      <c r="AD63" s="258">
        <v>7</v>
      </c>
    </row>
    <row r="64" spans="1:30" ht="16" x14ac:dyDescent="0.35">
      <c r="A64" s="102">
        <f>_xlfn.XLOOKUP(B64, 'Open Source Tools'!$E$3:$E$206, 'Open Source Tools'!$A$3:$A$206, "Not found")</f>
        <v>201</v>
      </c>
      <c r="B64" s="362" t="s">
        <v>3385</v>
      </c>
      <c r="C64" t="s">
        <v>66</v>
      </c>
      <c r="D64" t="s">
        <v>3444</v>
      </c>
      <c r="E64">
        <v>2</v>
      </c>
      <c r="F64">
        <v>2</v>
      </c>
      <c r="G64">
        <v>2</v>
      </c>
      <c r="H64">
        <v>2</v>
      </c>
      <c r="I64">
        <v>2</v>
      </c>
      <c r="J64">
        <v>3</v>
      </c>
      <c r="K64" s="187">
        <v>2.25</v>
      </c>
      <c r="L64">
        <v>5</v>
      </c>
      <c r="M64">
        <v>2</v>
      </c>
      <c r="N64">
        <v>5</v>
      </c>
      <c r="O64">
        <v>5</v>
      </c>
      <c r="P64" s="187">
        <v>4.333333333333333</v>
      </c>
      <c r="Q64">
        <v>4</v>
      </c>
      <c r="R64">
        <v>4</v>
      </c>
      <c r="S64">
        <v>1</v>
      </c>
      <c r="T64">
        <v>1</v>
      </c>
      <c r="U64">
        <v>5</v>
      </c>
      <c r="V64">
        <v>2</v>
      </c>
      <c r="W64" s="187">
        <v>2.5833333333333335</v>
      </c>
      <c r="X64">
        <v>4</v>
      </c>
      <c r="Y64">
        <v>5</v>
      </c>
      <c r="Z64">
        <v>3</v>
      </c>
      <c r="AA64">
        <v>1</v>
      </c>
      <c r="AB64" s="187">
        <v>3.75</v>
      </c>
      <c r="AC64" s="367">
        <v>3.4666666666666668</v>
      </c>
      <c r="AD64" s="258">
        <v>6</v>
      </c>
    </row>
    <row r="65" spans="1:30" ht="16" x14ac:dyDescent="0.35">
      <c r="A65" s="102">
        <f>_xlfn.XLOOKUP(B65, 'Open Source Tools'!$E$3:$E$206, 'Open Source Tools'!$A$3:$A$206, "Not found")</f>
        <v>174</v>
      </c>
      <c r="B65" s="9" t="s">
        <v>2764</v>
      </c>
      <c r="C65" t="s">
        <v>87</v>
      </c>
      <c r="D65" t="s">
        <v>453</v>
      </c>
      <c r="E65">
        <v>4</v>
      </c>
      <c r="F65">
        <v>3</v>
      </c>
      <c r="G65">
        <v>3</v>
      </c>
      <c r="H65">
        <v>4</v>
      </c>
      <c r="I65">
        <v>3</v>
      </c>
      <c r="J65">
        <v>4</v>
      </c>
      <c r="K65" s="187">
        <v>3.5833333333333335</v>
      </c>
      <c r="L65">
        <v>5</v>
      </c>
      <c r="M65">
        <v>2</v>
      </c>
      <c r="N65">
        <v>4</v>
      </c>
      <c r="O65">
        <v>5</v>
      </c>
      <c r="P65" s="187">
        <v>4.1111111111111107</v>
      </c>
      <c r="Q65">
        <v>4</v>
      </c>
      <c r="R65">
        <v>3</v>
      </c>
      <c r="S65">
        <v>5</v>
      </c>
      <c r="T65">
        <v>5</v>
      </c>
      <c r="U65">
        <v>5</v>
      </c>
      <c r="V65">
        <v>5</v>
      </c>
      <c r="W65" s="188">
        <v>4.666666666666667</v>
      </c>
      <c r="X65">
        <v>5</v>
      </c>
      <c r="Y65">
        <v>5</v>
      </c>
      <c r="Z65">
        <v>4</v>
      </c>
      <c r="AA65">
        <v>3</v>
      </c>
      <c r="AB65" s="187">
        <v>4.583333333333333</v>
      </c>
      <c r="AC65" s="160">
        <v>4.3513888888888888</v>
      </c>
      <c r="AD65" s="258">
        <v>8</v>
      </c>
    </row>
    <row r="66" spans="1:30" ht="16" x14ac:dyDescent="0.35">
      <c r="A66" s="102">
        <f>_xlfn.XLOOKUP(B66, 'Open Source Tools'!$E$3:$E$206, 'Open Source Tools'!$A$3:$A$206, "Not found")</f>
        <v>175</v>
      </c>
      <c r="B66" s="9" t="s">
        <v>2778</v>
      </c>
      <c r="C66" t="s">
        <v>87</v>
      </c>
      <c r="D66" t="s">
        <v>453</v>
      </c>
      <c r="E66">
        <v>3</v>
      </c>
      <c r="F66">
        <v>3</v>
      </c>
      <c r="G66">
        <v>2</v>
      </c>
      <c r="H66">
        <v>4</v>
      </c>
      <c r="I66">
        <v>3</v>
      </c>
      <c r="J66">
        <v>4</v>
      </c>
      <c r="K66" s="187">
        <v>3.3333333333333335</v>
      </c>
      <c r="L66">
        <v>5</v>
      </c>
      <c r="M66">
        <v>2</v>
      </c>
      <c r="N66">
        <v>4</v>
      </c>
      <c r="O66">
        <v>5</v>
      </c>
      <c r="P66" s="187">
        <v>4.1111111111111107</v>
      </c>
      <c r="Q66">
        <v>4</v>
      </c>
      <c r="R66">
        <v>2</v>
      </c>
      <c r="S66">
        <v>2</v>
      </c>
      <c r="T66">
        <v>5</v>
      </c>
      <c r="U66">
        <v>5</v>
      </c>
      <c r="V66">
        <v>4</v>
      </c>
      <c r="W66" s="188">
        <v>3.6666666666666665</v>
      </c>
      <c r="X66">
        <v>5</v>
      </c>
      <c r="Y66">
        <v>5</v>
      </c>
      <c r="Z66">
        <v>3</v>
      </c>
      <c r="AA66">
        <v>2</v>
      </c>
      <c r="AB66" s="187">
        <v>4.25</v>
      </c>
      <c r="AC66" s="160">
        <v>3.9972222222222222</v>
      </c>
      <c r="AD66" s="258">
        <v>7</v>
      </c>
    </row>
    <row r="67" spans="1:30" ht="16" x14ac:dyDescent="0.35">
      <c r="A67" s="102">
        <f>_xlfn.XLOOKUP(B67, 'Open Source Tools'!$E$3:$E$206, 'Open Source Tools'!$A$3:$A$206, "Not found")</f>
        <v>178</v>
      </c>
      <c r="B67" s="9" t="s">
        <v>2814</v>
      </c>
      <c r="C67" t="s">
        <v>87</v>
      </c>
      <c r="D67" t="s">
        <v>453</v>
      </c>
      <c r="E67">
        <v>2</v>
      </c>
      <c r="F67">
        <v>2</v>
      </c>
      <c r="G67">
        <v>2</v>
      </c>
      <c r="H67">
        <v>2</v>
      </c>
      <c r="I67">
        <v>2</v>
      </c>
      <c r="J67">
        <v>2</v>
      </c>
      <c r="K67" s="187">
        <v>2</v>
      </c>
      <c r="L67">
        <v>5</v>
      </c>
      <c r="M67">
        <v>5</v>
      </c>
      <c r="N67">
        <v>1</v>
      </c>
      <c r="O67">
        <v>5</v>
      </c>
      <c r="P67" s="187">
        <v>4.1111111111111107</v>
      </c>
      <c r="Q67">
        <v>5</v>
      </c>
      <c r="R67">
        <v>2</v>
      </c>
      <c r="S67">
        <v>3</v>
      </c>
      <c r="T67">
        <v>1</v>
      </c>
      <c r="U67">
        <v>1</v>
      </c>
      <c r="V67">
        <v>2</v>
      </c>
      <c r="W67" s="188">
        <v>2.4166666666666665</v>
      </c>
      <c r="X67">
        <v>5</v>
      </c>
      <c r="Y67">
        <v>5</v>
      </c>
      <c r="Z67">
        <v>3</v>
      </c>
      <c r="AA67">
        <v>4</v>
      </c>
      <c r="AB67" s="187">
        <v>4.416666666666667</v>
      </c>
      <c r="AC67" s="160">
        <v>3.6930555555555555</v>
      </c>
      <c r="AD67" s="258">
        <v>7</v>
      </c>
    </row>
    <row r="68" spans="1:30" ht="16" x14ac:dyDescent="0.35">
      <c r="A68" s="102">
        <f>_xlfn.XLOOKUP(B68, 'Open Source Tools'!$E$3:$E$206, 'Open Source Tools'!$A$3:$A$206, "Not found")</f>
        <v>99</v>
      </c>
      <c r="B68" s="9" t="s">
        <v>1725</v>
      </c>
      <c r="C68" t="s">
        <v>87</v>
      </c>
      <c r="D68" t="s">
        <v>441</v>
      </c>
      <c r="E68">
        <v>4</v>
      </c>
      <c r="F68">
        <v>3</v>
      </c>
      <c r="G68">
        <v>3</v>
      </c>
      <c r="H68">
        <v>3</v>
      </c>
      <c r="I68">
        <v>4</v>
      </c>
      <c r="J68">
        <v>4</v>
      </c>
      <c r="K68" s="187">
        <v>3.5833333333333335</v>
      </c>
      <c r="L68">
        <v>5</v>
      </c>
      <c r="M68">
        <v>5</v>
      </c>
      <c r="N68">
        <v>4</v>
      </c>
      <c r="O68">
        <v>5</v>
      </c>
      <c r="P68" s="187">
        <v>4.7777777777777777</v>
      </c>
      <c r="Q68">
        <v>4</v>
      </c>
      <c r="R68">
        <v>2</v>
      </c>
      <c r="S68">
        <v>4</v>
      </c>
      <c r="T68">
        <v>5</v>
      </c>
      <c r="U68">
        <v>5</v>
      </c>
      <c r="V68">
        <v>3</v>
      </c>
      <c r="W68" s="188">
        <v>4</v>
      </c>
      <c r="X68">
        <v>5</v>
      </c>
      <c r="Y68">
        <v>5</v>
      </c>
      <c r="Z68">
        <v>4</v>
      </c>
      <c r="AA68">
        <v>4</v>
      </c>
      <c r="AB68" s="187">
        <v>4.666666666666667</v>
      </c>
      <c r="AC68" s="160">
        <v>4.4263888888888889</v>
      </c>
      <c r="AD68" s="258">
        <v>8</v>
      </c>
    </row>
    <row r="69" spans="1:30" ht="16" x14ac:dyDescent="0.35">
      <c r="A69" s="102">
        <f>_xlfn.XLOOKUP(B69, 'Open Source Tools'!$E$3:$E$206, 'Open Source Tools'!$A$3:$A$206, "Not found")</f>
        <v>148</v>
      </c>
      <c r="B69" s="9" t="s">
        <v>2431</v>
      </c>
      <c r="C69" t="s">
        <v>87</v>
      </c>
      <c r="D69" t="s">
        <v>441</v>
      </c>
      <c r="E69">
        <v>3</v>
      </c>
      <c r="F69">
        <v>3</v>
      </c>
      <c r="G69">
        <v>3</v>
      </c>
      <c r="H69">
        <v>4</v>
      </c>
      <c r="I69">
        <v>3</v>
      </c>
      <c r="J69">
        <v>4</v>
      </c>
      <c r="K69" s="187">
        <v>3.4166666666666665</v>
      </c>
      <c r="L69">
        <v>3</v>
      </c>
      <c r="M69">
        <v>2</v>
      </c>
      <c r="N69">
        <v>4</v>
      </c>
      <c r="O69">
        <v>5</v>
      </c>
      <c r="P69" s="187">
        <v>3.4444444444444446</v>
      </c>
      <c r="Q69">
        <v>4</v>
      </c>
      <c r="R69">
        <v>3</v>
      </c>
      <c r="S69">
        <v>5</v>
      </c>
      <c r="T69">
        <v>5</v>
      </c>
      <c r="U69">
        <v>5</v>
      </c>
      <c r="V69">
        <v>5</v>
      </c>
      <c r="W69" s="188">
        <v>4.666666666666667</v>
      </c>
      <c r="X69">
        <v>5</v>
      </c>
      <c r="Y69">
        <v>5</v>
      </c>
      <c r="Z69">
        <v>5</v>
      </c>
      <c r="AA69">
        <v>4</v>
      </c>
      <c r="AB69" s="187">
        <v>4.916666666666667</v>
      </c>
      <c r="AC69" s="160">
        <v>4.3597222222222225</v>
      </c>
      <c r="AD69" s="258">
        <v>8</v>
      </c>
    </row>
    <row r="70" spans="1:30" ht="16" x14ac:dyDescent="0.35">
      <c r="A70" s="102">
        <f>_xlfn.XLOOKUP(B70, 'Open Source Tools'!$E$3:$E$206, 'Open Source Tools'!$A$3:$A$206, "Not found")</f>
        <v>147</v>
      </c>
      <c r="B70" s="9" t="s">
        <v>2416</v>
      </c>
      <c r="C70" t="s">
        <v>87</v>
      </c>
      <c r="D70" t="s">
        <v>441</v>
      </c>
      <c r="E70">
        <v>2</v>
      </c>
      <c r="F70">
        <v>2</v>
      </c>
      <c r="G70">
        <v>2</v>
      </c>
      <c r="H70">
        <v>4</v>
      </c>
      <c r="I70">
        <v>3</v>
      </c>
      <c r="J70">
        <v>5</v>
      </c>
      <c r="K70" s="187">
        <v>3.25</v>
      </c>
      <c r="L70">
        <v>5</v>
      </c>
      <c r="M70">
        <v>3</v>
      </c>
      <c r="N70">
        <v>4</v>
      </c>
      <c r="O70">
        <v>5</v>
      </c>
      <c r="P70" s="187">
        <v>4.333333333333333</v>
      </c>
      <c r="Q70">
        <v>4</v>
      </c>
      <c r="R70">
        <v>3</v>
      </c>
      <c r="S70">
        <v>5</v>
      </c>
      <c r="T70">
        <v>5</v>
      </c>
      <c r="U70">
        <v>2</v>
      </c>
      <c r="V70">
        <v>4</v>
      </c>
      <c r="W70" s="188">
        <v>4</v>
      </c>
      <c r="X70">
        <v>5</v>
      </c>
      <c r="Y70">
        <v>5</v>
      </c>
      <c r="Z70">
        <v>4</v>
      </c>
      <c r="AA70">
        <v>4</v>
      </c>
      <c r="AB70" s="187">
        <v>4.666666666666667</v>
      </c>
      <c r="AC70" s="160">
        <v>4.2874999999999996</v>
      </c>
      <c r="AD70" s="258">
        <v>8</v>
      </c>
    </row>
    <row r="71" spans="1:30" ht="16" x14ac:dyDescent="0.35">
      <c r="A71" s="102">
        <f>_xlfn.XLOOKUP(B71, 'Open Source Tools'!$E$3:$E$206, 'Open Source Tools'!$A$3:$A$206, "Not found")</f>
        <v>142</v>
      </c>
      <c r="B71" s="9" t="s">
        <v>2348</v>
      </c>
      <c r="C71" t="s">
        <v>87</v>
      </c>
      <c r="D71" t="s">
        <v>438</v>
      </c>
      <c r="E71">
        <v>3</v>
      </c>
      <c r="F71">
        <v>3</v>
      </c>
      <c r="G71">
        <v>3</v>
      </c>
      <c r="H71">
        <v>4</v>
      </c>
      <c r="I71">
        <v>3</v>
      </c>
      <c r="J71">
        <v>5</v>
      </c>
      <c r="K71" s="187">
        <v>3.6666666666666665</v>
      </c>
      <c r="L71">
        <v>3</v>
      </c>
      <c r="M71">
        <v>4</v>
      </c>
      <c r="N71">
        <v>4</v>
      </c>
      <c r="O71">
        <v>5</v>
      </c>
      <c r="P71" s="187">
        <v>3.8888888888888888</v>
      </c>
      <c r="Q71">
        <v>4</v>
      </c>
      <c r="R71">
        <v>4</v>
      </c>
      <c r="S71">
        <v>4</v>
      </c>
      <c r="T71">
        <v>5</v>
      </c>
      <c r="U71">
        <v>2</v>
      </c>
      <c r="V71">
        <v>5</v>
      </c>
      <c r="W71" s="188">
        <v>4</v>
      </c>
      <c r="X71">
        <v>5</v>
      </c>
      <c r="Y71">
        <v>5</v>
      </c>
      <c r="Z71">
        <v>4</v>
      </c>
      <c r="AA71">
        <v>3</v>
      </c>
      <c r="AB71" s="187">
        <v>4.583333333333333</v>
      </c>
      <c r="AC71" s="160">
        <v>4.2194444444444441</v>
      </c>
      <c r="AD71" s="258">
        <v>8</v>
      </c>
    </row>
    <row r="72" spans="1:30" ht="16" x14ac:dyDescent="0.35">
      <c r="A72" s="102">
        <f>_xlfn.XLOOKUP(B72, 'Open Source Tools'!$E$3:$E$206, 'Open Source Tools'!$A$3:$A$206, "Not found")</f>
        <v>139</v>
      </c>
      <c r="B72" s="9" t="s">
        <v>2311</v>
      </c>
      <c r="C72" t="s">
        <v>87</v>
      </c>
      <c r="D72" t="s">
        <v>438</v>
      </c>
      <c r="E72">
        <v>3</v>
      </c>
      <c r="F72">
        <v>2</v>
      </c>
      <c r="G72">
        <v>2</v>
      </c>
      <c r="H72">
        <v>3</v>
      </c>
      <c r="I72">
        <v>3</v>
      </c>
      <c r="J72">
        <v>5</v>
      </c>
      <c r="K72" s="187">
        <v>3.25</v>
      </c>
      <c r="L72">
        <v>5</v>
      </c>
      <c r="M72">
        <v>4</v>
      </c>
      <c r="N72">
        <v>4</v>
      </c>
      <c r="O72">
        <v>5</v>
      </c>
      <c r="P72" s="187">
        <v>4.5555555555555554</v>
      </c>
      <c r="Q72">
        <v>4</v>
      </c>
      <c r="R72">
        <v>2</v>
      </c>
      <c r="S72">
        <v>3</v>
      </c>
      <c r="T72">
        <v>5</v>
      </c>
      <c r="U72">
        <v>5</v>
      </c>
      <c r="V72">
        <v>4</v>
      </c>
      <c r="W72" s="188">
        <v>3.9166666666666665</v>
      </c>
      <c r="X72">
        <v>3</v>
      </c>
      <c r="Y72">
        <v>5</v>
      </c>
      <c r="Z72">
        <v>3</v>
      </c>
      <c r="AA72">
        <v>3</v>
      </c>
      <c r="AB72" s="187">
        <v>3.5</v>
      </c>
      <c r="AC72" s="160">
        <v>3.7361111111111107</v>
      </c>
      <c r="AD72" s="258">
        <v>7</v>
      </c>
    </row>
    <row r="73" spans="1:30" ht="16" x14ac:dyDescent="0.35">
      <c r="A73" s="102">
        <f>_xlfn.XLOOKUP(B73, 'Open Source Tools'!$E$3:$E$206, 'Open Source Tools'!$A$3:$A$206, "Not found")</f>
        <v>189</v>
      </c>
      <c r="B73" s="9" t="s">
        <v>2954</v>
      </c>
      <c r="C73" t="s">
        <v>87</v>
      </c>
      <c r="D73" t="s">
        <v>438</v>
      </c>
      <c r="E73">
        <v>2</v>
      </c>
      <c r="F73">
        <v>2</v>
      </c>
      <c r="G73">
        <v>2</v>
      </c>
      <c r="H73">
        <v>4</v>
      </c>
      <c r="I73">
        <v>3</v>
      </c>
      <c r="J73">
        <v>5</v>
      </c>
      <c r="K73" s="187">
        <v>3.25</v>
      </c>
      <c r="L73">
        <v>5</v>
      </c>
      <c r="M73">
        <v>3</v>
      </c>
      <c r="N73">
        <v>4</v>
      </c>
      <c r="O73">
        <v>5</v>
      </c>
      <c r="P73" s="187">
        <v>4.333333333333333</v>
      </c>
      <c r="Q73">
        <v>5</v>
      </c>
      <c r="R73">
        <v>3</v>
      </c>
      <c r="S73">
        <v>1</v>
      </c>
      <c r="T73">
        <v>5</v>
      </c>
      <c r="U73">
        <v>5</v>
      </c>
      <c r="V73">
        <v>3</v>
      </c>
      <c r="W73" s="188">
        <v>3.5</v>
      </c>
      <c r="X73">
        <v>3</v>
      </c>
      <c r="Y73">
        <v>3</v>
      </c>
      <c r="Z73">
        <v>3</v>
      </c>
      <c r="AA73">
        <v>3</v>
      </c>
      <c r="AB73" s="187">
        <v>3</v>
      </c>
      <c r="AC73" s="160">
        <v>3.3791666666666669</v>
      </c>
      <c r="AD73" s="258">
        <v>6</v>
      </c>
    </row>
    <row r="74" spans="1:30" ht="16" x14ac:dyDescent="0.35">
      <c r="A74" s="102">
        <f>_xlfn.XLOOKUP(B74, 'Open Source Tools'!$E$3:$E$206, 'Open Source Tools'!$A$3:$A$206, "Not found")</f>
        <v>167</v>
      </c>
      <c r="B74" s="9" t="s">
        <v>2679</v>
      </c>
      <c r="C74" t="s">
        <v>87</v>
      </c>
      <c r="D74" t="s">
        <v>447</v>
      </c>
      <c r="E74">
        <v>3</v>
      </c>
      <c r="F74">
        <v>3</v>
      </c>
      <c r="G74">
        <v>2</v>
      </c>
      <c r="H74">
        <v>2</v>
      </c>
      <c r="I74">
        <v>2</v>
      </c>
      <c r="J74">
        <v>4</v>
      </c>
      <c r="K74" s="187">
        <v>2.8333333333333335</v>
      </c>
      <c r="L74">
        <v>5</v>
      </c>
      <c r="M74">
        <v>2</v>
      </c>
      <c r="N74">
        <v>4</v>
      </c>
      <c r="O74">
        <v>5</v>
      </c>
      <c r="P74" s="187">
        <v>4.1111111111111107</v>
      </c>
      <c r="Q74">
        <v>4</v>
      </c>
      <c r="R74">
        <v>2</v>
      </c>
      <c r="S74">
        <v>5</v>
      </c>
      <c r="T74">
        <v>5</v>
      </c>
      <c r="U74">
        <v>2</v>
      </c>
      <c r="V74">
        <v>3</v>
      </c>
      <c r="W74" s="188">
        <v>3.75</v>
      </c>
      <c r="X74">
        <v>5</v>
      </c>
      <c r="Y74">
        <v>5</v>
      </c>
      <c r="Z74">
        <v>5</v>
      </c>
      <c r="AA74">
        <v>4</v>
      </c>
      <c r="AB74" s="187">
        <v>4.916666666666667</v>
      </c>
      <c r="AC74" s="160">
        <v>4.2680555555555557</v>
      </c>
      <c r="AD74" s="258">
        <v>8</v>
      </c>
    </row>
    <row r="75" spans="1:30" ht="16" x14ac:dyDescent="0.35">
      <c r="A75" s="102">
        <f>_xlfn.XLOOKUP(B75, 'Open Source Tools'!$E$3:$E$206, 'Open Source Tools'!$A$3:$A$206, "Not found")</f>
        <v>172</v>
      </c>
      <c r="B75" s="9" t="s">
        <v>2739</v>
      </c>
      <c r="C75" t="s">
        <v>87</v>
      </c>
      <c r="D75" t="s">
        <v>447</v>
      </c>
      <c r="E75">
        <v>3</v>
      </c>
      <c r="F75">
        <v>2</v>
      </c>
      <c r="G75">
        <v>2</v>
      </c>
      <c r="H75">
        <v>2</v>
      </c>
      <c r="I75">
        <v>2</v>
      </c>
      <c r="J75">
        <v>5</v>
      </c>
      <c r="K75" s="187">
        <v>2.9166666666666665</v>
      </c>
      <c r="L75">
        <v>5</v>
      </c>
      <c r="M75">
        <v>4</v>
      </c>
      <c r="N75">
        <v>4</v>
      </c>
      <c r="O75">
        <v>5</v>
      </c>
      <c r="P75" s="187">
        <v>4.5555555555555554</v>
      </c>
      <c r="Q75">
        <v>5</v>
      </c>
      <c r="R75">
        <v>2</v>
      </c>
      <c r="S75">
        <v>4</v>
      </c>
      <c r="T75">
        <v>1</v>
      </c>
      <c r="U75">
        <v>1</v>
      </c>
      <c r="V75">
        <v>4</v>
      </c>
      <c r="W75" s="188">
        <v>3</v>
      </c>
      <c r="X75">
        <v>5</v>
      </c>
      <c r="Y75">
        <v>5</v>
      </c>
      <c r="Z75">
        <v>4</v>
      </c>
      <c r="AA75">
        <v>1</v>
      </c>
      <c r="AB75" s="187">
        <v>4.416666666666667</v>
      </c>
      <c r="AC75" s="160">
        <v>4.0069444444444446</v>
      </c>
      <c r="AD75" s="258">
        <v>8</v>
      </c>
    </row>
    <row r="76" spans="1:30" ht="16" x14ac:dyDescent="0.35">
      <c r="A76" s="102">
        <f>_xlfn.XLOOKUP(B76, 'Open Source Tools'!$E$3:$E$206, 'Open Source Tools'!$A$3:$A$206, "Not found")</f>
        <v>169</v>
      </c>
      <c r="B76" s="9" t="s">
        <v>2702</v>
      </c>
      <c r="C76" t="s">
        <v>87</v>
      </c>
      <c r="D76" t="s">
        <v>447</v>
      </c>
      <c r="E76">
        <v>3</v>
      </c>
      <c r="F76">
        <v>3</v>
      </c>
      <c r="G76">
        <v>2</v>
      </c>
      <c r="H76">
        <v>3</v>
      </c>
      <c r="I76">
        <v>3</v>
      </c>
      <c r="J76">
        <v>4</v>
      </c>
      <c r="K76" s="187">
        <v>3.1666666666666665</v>
      </c>
      <c r="L76">
        <v>3</v>
      </c>
      <c r="M76">
        <v>5</v>
      </c>
      <c r="N76">
        <v>2</v>
      </c>
      <c r="O76">
        <v>5</v>
      </c>
      <c r="P76" s="187">
        <v>3.6666666666666665</v>
      </c>
      <c r="Q76">
        <v>4</v>
      </c>
      <c r="R76">
        <v>2</v>
      </c>
      <c r="S76">
        <v>4</v>
      </c>
      <c r="T76">
        <v>5</v>
      </c>
      <c r="U76">
        <v>5</v>
      </c>
      <c r="V76">
        <v>3</v>
      </c>
      <c r="W76" s="188">
        <v>4</v>
      </c>
      <c r="X76">
        <v>5</v>
      </c>
      <c r="Y76">
        <v>5</v>
      </c>
      <c r="Z76">
        <v>3</v>
      </c>
      <c r="AA76">
        <v>3</v>
      </c>
      <c r="AB76" s="187">
        <v>4.333333333333333</v>
      </c>
      <c r="AC76" s="160">
        <v>3.9750000000000001</v>
      </c>
      <c r="AD76" s="258">
        <v>7</v>
      </c>
    </row>
    <row r="77" spans="1:30" ht="16" x14ac:dyDescent="0.35">
      <c r="A77" s="102">
        <f>_xlfn.XLOOKUP(B77, 'Open Source Tools'!$E$3:$E$206, 'Open Source Tools'!$A$3:$A$206, "Not found")</f>
        <v>159</v>
      </c>
      <c r="B77" s="9" t="s">
        <v>2578</v>
      </c>
      <c r="C77" t="s">
        <v>87</v>
      </c>
      <c r="D77" t="s">
        <v>444</v>
      </c>
      <c r="E77">
        <v>3</v>
      </c>
      <c r="F77">
        <v>2</v>
      </c>
      <c r="G77">
        <v>2</v>
      </c>
      <c r="H77">
        <v>4</v>
      </c>
      <c r="I77">
        <v>3</v>
      </c>
      <c r="J77">
        <v>4</v>
      </c>
      <c r="K77" s="187">
        <v>3.1666666666666665</v>
      </c>
      <c r="L77">
        <v>3</v>
      </c>
      <c r="M77">
        <v>3</v>
      </c>
      <c r="N77">
        <v>4</v>
      </c>
      <c r="O77">
        <v>5</v>
      </c>
      <c r="P77" s="187">
        <v>3.6666666666666665</v>
      </c>
      <c r="Q77">
        <v>4</v>
      </c>
      <c r="R77">
        <v>2</v>
      </c>
      <c r="S77">
        <v>4</v>
      </c>
      <c r="T77">
        <v>5</v>
      </c>
      <c r="U77">
        <v>5</v>
      </c>
      <c r="V77">
        <v>4</v>
      </c>
      <c r="W77" s="188">
        <v>4.166666666666667</v>
      </c>
      <c r="X77">
        <v>5</v>
      </c>
      <c r="Y77">
        <v>5</v>
      </c>
      <c r="Z77">
        <v>4</v>
      </c>
      <c r="AA77">
        <v>4</v>
      </c>
      <c r="AB77" s="187">
        <v>4.666666666666667</v>
      </c>
      <c r="AC77" s="160">
        <v>4.166666666666667</v>
      </c>
      <c r="AD77" s="258">
        <v>8</v>
      </c>
    </row>
    <row r="78" spans="1:30" ht="16" x14ac:dyDescent="0.35">
      <c r="A78" s="102">
        <f>_xlfn.XLOOKUP(B78, 'Open Source Tools'!$E$3:$E$206, 'Open Source Tools'!$A$3:$A$206, "Not found")</f>
        <v>156</v>
      </c>
      <c r="B78" s="9" t="s">
        <v>2538</v>
      </c>
      <c r="C78" t="s">
        <v>87</v>
      </c>
      <c r="D78" t="s">
        <v>444</v>
      </c>
      <c r="E78">
        <v>3</v>
      </c>
      <c r="F78">
        <v>3</v>
      </c>
      <c r="G78">
        <v>3</v>
      </c>
      <c r="H78">
        <v>4</v>
      </c>
      <c r="I78">
        <v>3</v>
      </c>
      <c r="J78">
        <v>5</v>
      </c>
      <c r="K78" s="187">
        <v>3.6666666666666665</v>
      </c>
      <c r="L78">
        <v>3</v>
      </c>
      <c r="M78">
        <v>4</v>
      </c>
      <c r="N78">
        <v>1</v>
      </c>
      <c r="O78">
        <v>5</v>
      </c>
      <c r="P78" s="187">
        <v>3.2222222222222223</v>
      </c>
      <c r="Q78">
        <v>5</v>
      </c>
      <c r="R78">
        <v>3</v>
      </c>
      <c r="S78">
        <v>1</v>
      </c>
      <c r="T78">
        <v>5</v>
      </c>
      <c r="U78">
        <v>2</v>
      </c>
      <c r="V78">
        <v>4</v>
      </c>
      <c r="W78" s="188">
        <v>3.1666666666666665</v>
      </c>
      <c r="X78">
        <v>5</v>
      </c>
      <c r="Y78">
        <v>5</v>
      </c>
      <c r="Z78">
        <v>4</v>
      </c>
      <c r="AA78">
        <v>4</v>
      </c>
      <c r="AB78" s="187">
        <v>4.666666666666667</v>
      </c>
      <c r="AC78" s="160">
        <v>4.0027777777777782</v>
      </c>
      <c r="AD78" s="258">
        <v>8</v>
      </c>
    </row>
    <row r="79" spans="1:30" ht="16" x14ac:dyDescent="0.35">
      <c r="A79" s="102">
        <f>_xlfn.XLOOKUP(B79, 'Open Source Tools'!$E$3:$E$206, 'Open Source Tools'!$A$3:$A$206, "Not found")</f>
        <v>158</v>
      </c>
      <c r="B79" s="9" t="s">
        <v>2565</v>
      </c>
      <c r="C79" t="s">
        <v>87</v>
      </c>
      <c r="D79" t="s">
        <v>444</v>
      </c>
      <c r="E79">
        <v>2</v>
      </c>
      <c r="F79">
        <v>2</v>
      </c>
      <c r="G79">
        <v>2</v>
      </c>
      <c r="H79">
        <v>2</v>
      </c>
      <c r="I79">
        <v>3</v>
      </c>
      <c r="J79">
        <v>3</v>
      </c>
      <c r="K79" s="187">
        <v>2.4166666666666665</v>
      </c>
      <c r="L79">
        <v>5</v>
      </c>
      <c r="M79">
        <v>5</v>
      </c>
      <c r="N79">
        <v>1</v>
      </c>
      <c r="O79">
        <v>5</v>
      </c>
      <c r="P79" s="187">
        <v>4.1111111111111107</v>
      </c>
      <c r="Q79">
        <v>3</v>
      </c>
      <c r="R79">
        <v>2</v>
      </c>
      <c r="S79">
        <v>4</v>
      </c>
      <c r="T79">
        <v>5</v>
      </c>
      <c r="U79">
        <v>2</v>
      </c>
      <c r="V79">
        <v>3</v>
      </c>
      <c r="W79" s="188">
        <v>3.3333333333333335</v>
      </c>
      <c r="X79">
        <v>5</v>
      </c>
      <c r="Y79">
        <v>5</v>
      </c>
      <c r="Z79">
        <v>3</v>
      </c>
      <c r="AA79">
        <v>4</v>
      </c>
      <c r="AB79" s="187">
        <v>4.416666666666667</v>
      </c>
      <c r="AC79" s="160">
        <v>3.8930555555555557</v>
      </c>
      <c r="AD79" s="258">
        <v>7</v>
      </c>
    </row>
    <row r="80" spans="1:30" ht="16" x14ac:dyDescent="0.35">
      <c r="A80" s="102">
        <f>_xlfn.XLOOKUP(B80, 'Open Source Tools'!$E$3:$E$206, 'Open Source Tools'!$A$3:$A$206, "Not found")</f>
        <v>182</v>
      </c>
      <c r="B80" s="9" t="s">
        <v>2861</v>
      </c>
      <c r="C80" t="s">
        <v>93</v>
      </c>
      <c r="D80" t="s">
        <v>474</v>
      </c>
      <c r="E80">
        <v>5</v>
      </c>
      <c r="F80">
        <v>4</v>
      </c>
      <c r="G80">
        <v>4</v>
      </c>
      <c r="H80">
        <v>5</v>
      </c>
      <c r="I80">
        <v>5</v>
      </c>
      <c r="J80">
        <v>4</v>
      </c>
      <c r="K80" s="187">
        <v>4.5</v>
      </c>
      <c r="L80">
        <v>5</v>
      </c>
      <c r="M80">
        <v>3</v>
      </c>
      <c r="N80">
        <v>4</v>
      </c>
      <c r="O80">
        <v>5</v>
      </c>
      <c r="P80" s="187">
        <v>4.333333333333333</v>
      </c>
      <c r="Q80">
        <v>5</v>
      </c>
      <c r="R80">
        <v>5</v>
      </c>
      <c r="S80">
        <v>1</v>
      </c>
      <c r="T80">
        <v>5</v>
      </c>
      <c r="U80">
        <v>5</v>
      </c>
      <c r="V80">
        <v>5</v>
      </c>
      <c r="W80" s="188">
        <v>4</v>
      </c>
      <c r="X80">
        <v>5</v>
      </c>
      <c r="Y80">
        <v>5</v>
      </c>
      <c r="Z80">
        <v>4</v>
      </c>
      <c r="AA80">
        <v>1</v>
      </c>
      <c r="AB80" s="187">
        <v>4.416666666666667</v>
      </c>
      <c r="AC80" s="160">
        <v>4.3499999999999996</v>
      </c>
      <c r="AD80" s="258">
        <v>8</v>
      </c>
    </row>
    <row r="81" spans="1:30" ht="16" x14ac:dyDescent="0.35">
      <c r="A81" s="102">
        <f>_xlfn.XLOOKUP(B81, 'Open Source Tools'!$E$3:$E$206, 'Open Source Tools'!$A$3:$A$206, "Not found")</f>
        <v>179</v>
      </c>
      <c r="B81" s="9" t="s">
        <v>2825</v>
      </c>
      <c r="C81" t="s">
        <v>93</v>
      </c>
      <c r="D81" t="s">
        <v>474</v>
      </c>
      <c r="E81">
        <v>4</v>
      </c>
      <c r="F81">
        <v>3</v>
      </c>
      <c r="G81">
        <v>1</v>
      </c>
      <c r="H81">
        <v>3</v>
      </c>
      <c r="I81">
        <v>3</v>
      </c>
      <c r="J81">
        <v>3</v>
      </c>
      <c r="K81" s="187">
        <v>3</v>
      </c>
      <c r="L81">
        <v>5</v>
      </c>
      <c r="M81">
        <v>5</v>
      </c>
      <c r="N81">
        <v>4</v>
      </c>
      <c r="O81">
        <v>5</v>
      </c>
      <c r="P81" s="187">
        <v>4.7777777777777777</v>
      </c>
      <c r="Q81">
        <v>5</v>
      </c>
      <c r="R81">
        <v>3</v>
      </c>
      <c r="S81">
        <v>1</v>
      </c>
      <c r="T81">
        <v>5</v>
      </c>
      <c r="U81">
        <v>5</v>
      </c>
      <c r="V81">
        <v>4</v>
      </c>
      <c r="W81" s="188">
        <v>3.6666666666666665</v>
      </c>
      <c r="X81">
        <v>5</v>
      </c>
      <c r="Y81">
        <v>5</v>
      </c>
      <c r="Z81">
        <v>4</v>
      </c>
      <c r="AA81">
        <v>1</v>
      </c>
      <c r="AB81" s="187">
        <v>4.416666666666667</v>
      </c>
      <c r="AC81" s="368">
        <v>4.1638888888888888</v>
      </c>
      <c r="AD81" s="258">
        <v>8</v>
      </c>
    </row>
    <row r="82" spans="1:30" ht="16" x14ac:dyDescent="0.35">
      <c r="A82" s="102">
        <f>_xlfn.XLOOKUP(B82, 'Open Source Tools'!$E$3:$E$206, 'Open Source Tools'!$A$3:$A$206, "Not found")</f>
        <v>185</v>
      </c>
      <c r="B82" s="9" t="s">
        <v>2901</v>
      </c>
      <c r="C82" t="s">
        <v>93</v>
      </c>
      <c r="D82" t="s">
        <v>474</v>
      </c>
      <c r="E82">
        <v>4</v>
      </c>
      <c r="F82">
        <v>3</v>
      </c>
      <c r="G82">
        <v>3</v>
      </c>
      <c r="H82">
        <v>4</v>
      </c>
      <c r="I82">
        <v>4</v>
      </c>
      <c r="J82">
        <v>4</v>
      </c>
      <c r="K82" s="187">
        <v>3.75</v>
      </c>
      <c r="L82">
        <v>5</v>
      </c>
      <c r="M82">
        <v>3</v>
      </c>
      <c r="N82">
        <v>4</v>
      </c>
      <c r="O82">
        <v>5</v>
      </c>
      <c r="P82" s="187">
        <v>4.333333333333333</v>
      </c>
      <c r="Q82">
        <v>5</v>
      </c>
      <c r="R82">
        <v>3</v>
      </c>
      <c r="S82">
        <v>1</v>
      </c>
      <c r="T82">
        <v>5</v>
      </c>
      <c r="U82">
        <v>5</v>
      </c>
      <c r="V82">
        <v>3</v>
      </c>
      <c r="W82" s="188">
        <v>3.5</v>
      </c>
      <c r="X82">
        <v>5</v>
      </c>
      <c r="Y82">
        <v>5</v>
      </c>
      <c r="Z82">
        <v>3</v>
      </c>
      <c r="AA82">
        <v>1</v>
      </c>
      <c r="AB82" s="187">
        <v>4.166666666666667</v>
      </c>
      <c r="AC82" s="187">
        <v>4.0374999999999996</v>
      </c>
      <c r="AD82" s="364">
        <v>8</v>
      </c>
    </row>
    <row r="83" spans="1:30" ht="16" x14ac:dyDescent="0.35">
      <c r="A83" s="218"/>
      <c r="B83" s="9"/>
      <c r="W83" s="102"/>
      <c r="AB83" s="102"/>
      <c r="AC83" s="16"/>
      <c r="AD83" s="26"/>
    </row>
  </sheetData>
  <autoFilter ref="A4:AD83" xr:uid="{9B465BFE-B69D-4098-813C-07DDD865674E}">
    <sortState xmlns:xlrd2="http://schemas.microsoft.com/office/spreadsheetml/2017/richdata2" ref="A5:AD83">
      <sortCondition ref="C4:C83"/>
    </sortState>
  </autoFilter>
  <mergeCells count="11">
    <mergeCell ref="AD1:AD4"/>
    <mergeCell ref="A1:C3"/>
    <mergeCell ref="AC1:AC4"/>
    <mergeCell ref="K2:K3"/>
    <mergeCell ref="P2:P3"/>
    <mergeCell ref="W2:W3"/>
    <mergeCell ref="AB2:AB3"/>
    <mergeCell ref="E1:K1"/>
    <mergeCell ref="L1:P1"/>
    <mergeCell ref="Q1:W1"/>
    <mergeCell ref="X1:AB1"/>
  </mergeCells>
  <conditionalFormatting sqref="B5:B7">
    <cfRule type="duplicateValues" dxfId="373" priority="7"/>
  </conditionalFormatting>
  <conditionalFormatting sqref="B8:B10">
    <cfRule type="duplicateValues" dxfId="372" priority="6"/>
  </conditionalFormatting>
  <conditionalFormatting sqref="B11:B13">
    <cfRule type="duplicateValues" dxfId="371" priority="34"/>
  </conditionalFormatting>
  <conditionalFormatting sqref="B14:B16">
    <cfRule type="duplicateValues" dxfId="370" priority="33"/>
  </conditionalFormatting>
  <conditionalFormatting sqref="B17:B19">
    <cfRule type="duplicateValues" dxfId="369" priority="32"/>
  </conditionalFormatting>
  <conditionalFormatting sqref="B20:B22">
    <cfRule type="duplicateValues" dxfId="368" priority="31"/>
  </conditionalFormatting>
  <conditionalFormatting sqref="B23:B25">
    <cfRule type="duplicateValues" dxfId="367" priority="5"/>
  </conditionalFormatting>
  <conditionalFormatting sqref="B26:B28">
    <cfRule type="duplicateValues" dxfId="366" priority="29"/>
  </conditionalFormatting>
  <conditionalFormatting sqref="B29:B31">
    <cfRule type="duplicateValues" dxfId="365" priority="28"/>
  </conditionalFormatting>
  <conditionalFormatting sqref="B32:B34">
    <cfRule type="duplicateValues" dxfId="364" priority="27"/>
  </conditionalFormatting>
  <conditionalFormatting sqref="B35:B37">
    <cfRule type="duplicateValues" dxfId="363" priority="26"/>
  </conditionalFormatting>
  <conditionalFormatting sqref="B38:B39">
    <cfRule type="duplicateValues" dxfId="362" priority="4"/>
  </conditionalFormatting>
  <conditionalFormatting sqref="B40:B42">
    <cfRule type="duplicateValues" dxfId="361" priority="24"/>
  </conditionalFormatting>
  <conditionalFormatting sqref="B43:B45">
    <cfRule type="duplicateValues" dxfId="360" priority="23"/>
  </conditionalFormatting>
  <conditionalFormatting sqref="B46:B47">
    <cfRule type="duplicateValues" dxfId="359" priority="315"/>
  </conditionalFormatting>
  <conditionalFormatting sqref="B48:B49">
    <cfRule type="duplicateValues" dxfId="358" priority="21"/>
  </conditionalFormatting>
  <conditionalFormatting sqref="B50:B52">
    <cfRule type="duplicateValues" dxfId="357" priority="3"/>
  </conditionalFormatting>
  <conditionalFormatting sqref="B53:B55">
    <cfRule type="duplicateValues" dxfId="356" priority="19"/>
  </conditionalFormatting>
  <conditionalFormatting sqref="B56:B58">
    <cfRule type="duplicateValues" dxfId="355" priority="18"/>
  </conditionalFormatting>
  <conditionalFormatting sqref="B59">
    <cfRule type="duplicateValues" dxfId="354" priority="17"/>
  </conditionalFormatting>
  <conditionalFormatting sqref="B60:B62">
    <cfRule type="duplicateValues" dxfId="353" priority="16"/>
  </conditionalFormatting>
  <conditionalFormatting sqref="B63:B64">
    <cfRule type="duplicateValues" dxfId="352" priority="1"/>
  </conditionalFormatting>
  <conditionalFormatting sqref="B65:B66">
    <cfRule type="duplicateValues" dxfId="351" priority="15"/>
  </conditionalFormatting>
  <conditionalFormatting sqref="B67:B69">
    <cfRule type="duplicateValues" dxfId="350" priority="14"/>
  </conditionalFormatting>
  <conditionalFormatting sqref="B70:B72">
    <cfRule type="duplicateValues" dxfId="349" priority="13"/>
  </conditionalFormatting>
  <conditionalFormatting sqref="B73">
    <cfRule type="duplicateValues" dxfId="348" priority="45"/>
  </conditionalFormatting>
  <conditionalFormatting sqref="B74:B75">
    <cfRule type="duplicateValues" dxfId="347" priority="12"/>
  </conditionalFormatting>
  <conditionalFormatting sqref="B76">
    <cfRule type="duplicateValues" dxfId="346" priority="10"/>
  </conditionalFormatting>
  <conditionalFormatting sqref="B77">
    <cfRule type="duplicateValues" dxfId="345" priority="9"/>
  </conditionalFormatting>
  <conditionalFormatting sqref="B78">
    <cfRule type="duplicateValues" dxfId="344" priority="11"/>
  </conditionalFormatting>
  <conditionalFormatting sqref="B80:B81">
    <cfRule type="duplicateValues" dxfId="343" priority="8"/>
  </conditionalFormatting>
  <conditionalFormatting sqref="B82">
    <cfRule type="duplicateValues" dxfId="342" priority="75"/>
  </conditionalFormatting>
  <conditionalFormatting sqref="B83">
    <cfRule type="duplicateValues" dxfId="341" priority="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D5850-DCF3-4C3E-80A4-A902F2E48C0E}">
  <sheetPr>
    <tabColor theme="5" tint="0.39997558519241921"/>
    <pageSetUpPr fitToPage="1"/>
  </sheetPr>
  <dimension ref="A1:AG112"/>
  <sheetViews>
    <sheetView topLeftCell="A2" zoomScale="84" zoomScaleNormal="88" workbookViewId="0">
      <selection activeCell="A33" sqref="A33"/>
    </sheetView>
  </sheetViews>
  <sheetFormatPr defaultRowHeight="14.5" x14ac:dyDescent="0.35"/>
  <cols>
    <col min="1" max="1" width="8.7265625" style="11"/>
    <col min="2" max="2" width="47.54296875" bestFit="1" customWidth="1"/>
    <col min="3" max="3" width="22.453125" customWidth="1"/>
    <col min="4" max="4" width="48.81640625" bestFit="1" customWidth="1"/>
    <col min="5" max="5" width="19.1796875" customWidth="1"/>
    <col min="6" max="6" width="15.54296875" customWidth="1"/>
    <col min="7" max="7" width="16.7265625" customWidth="1"/>
    <col min="8" max="8" width="16.81640625" customWidth="1"/>
    <col min="9" max="9" width="17.54296875" bestFit="1" customWidth="1"/>
    <col min="10" max="10" width="12.54296875" customWidth="1"/>
    <col min="16" max="16" width="34.26953125" customWidth="1"/>
    <col min="17" max="17" width="51.36328125" customWidth="1"/>
    <col min="18" max="18" width="9.453125" bestFit="1" customWidth="1"/>
    <col min="19" max="19" width="16.54296875" customWidth="1"/>
    <col min="20" max="20" width="15.54296875" customWidth="1"/>
    <col min="21" max="21" width="14.453125" customWidth="1"/>
    <col min="22" max="22" width="16.1796875" customWidth="1"/>
    <col min="27" max="27" width="45.54296875" bestFit="1" customWidth="1"/>
    <col min="28" max="28" width="51.453125" bestFit="1" customWidth="1"/>
    <col min="29" max="29" width="10.1796875" customWidth="1"/>
    <col min="30" max="30" width="16" customWidth="1"/>
    <col min="31" max="31" width="16.26953125" customWidth="1"/>
    <col min="32" max="32" width="15.26953125" customWidth="1"/>
    <col min="33" max="33" width="19.26953125" customWidth="1"/>
  </cols>
  <sheetData>
    <row r="1" spans="1:33" ht="16" customHeight="1" x14ac:dyDescent="0.35">
      <c r="A1" s="515" t="s">
        <v>3282</v>
      </c>
      <c r="B1" s="515"/>
      <c r="C1" s="515"/>
      <c r="D1" s="516"/>
      <c r="E1" s="519" t="s">
        <v>3173</v>
      </c>
      <c r="F1" s="521" t="s">
        <v>3376</v>
      </c>
      <c r="G1" s="523" t="s">
        <v>3111</v>
      </c>
      <c r="H1" s="525" t="s">
        <v>3112</v>
      </c>
      <c r="I1" s="512" t="s">
        <v>3174</v>
      </c>
      <c r="J1" s="531" t="s">
        <v>3175</v>
      </c>
      <c r="K1" s="9"/>
      <c r="L1" s="9"/>
      <c r="M1" s="9"/>
      <c r="N1" s="541"/>
      <c r="O1" s="542" t="s">
        <v>3176</v>
      </c>
      <c r="P1" s="543"/>
      <c r="Q1" s="543"/>
      <c r="R1" s="543"/>
      <c r="S1" s="543"/>
      <c r="T1" s="543"/>
      <c r="U1" s="543"/>
      <c r="V1" s="543"/>
      <c r="W1" s="547"/>
      <c r="Z1" s="9"/>
      <c r="AA1" s="9"/>
      <c r="AB1" s="9"/>
      <c r="AC1" s="9"/>
      <c r="AD1" s="9"/>
      <c r="AE1" s="9"/>
      <c r="AF1" s="9"/>
      <c r="AG1" s="9"/>
    </row>
    <row r="2" spans="1:33" ht="22.5" customHeight="1" thickBot="1" x14ac:dyDescent="0.4">
      <c r="A2" s="517"/>
      <c r="B2" s="517"/>
      <c r="C2" s="517"/>
      <c r="D2" s="518"/>
      <c r="E2" s="520"/>
      <c r="F2" s="522"/>
      <c r="G2" s="524"/>
      <c r="H2" s="526"/>
      <c r="I2" s="513"/>
      <c r="J2" s="532"/>
      <c r="K2" s="9"/>
      <c r="L2" s="9"/>
      <c r="M2" s="9"/>
      <c r="N2" s="537"/>
      <c r="O2" s="544"/>
      <c r="P2" s="545"/>
      <c r="Q2" s="546"/>
      <c r="R2" s="546"/>
      <c r="S2" s="546"/>
      <c r="T2" s="546"/>
      <c r="U2" s="546"/>
      <c r="V2" s="546"/>
      <c r="W2" s="548"/>
      <c r="Z2" s="9"/>
      <c r="AA2" s="9"/>
      <c r="AB2" s="9"/>
      <c r="AC2" s="9"/>
      <c r="AD2" s="9"/>
      <c r="AE2" s="9"/>
      <c r="AF2" s="9"/>
      <c r="AG2" s="9"/>
    </row>
    <row r="3" spans="1:33" ht="35.15" customHeight="1" thickBot="1" x14ac:dyDescent="0.4">
      <c r="A3" s="190" t="s">
        <v>34</v>
      </c>
      <c r="B3" s="191" t="s">
        <v>3165</v>
      </c>
      <c r="C3" s="191" t="s">
        <v>3172</v>
      </c>
      <c r="D3" s="191" t="s">
        <v>3166</v>
      </c>
      <c r="E3" s="242" t="s">
        <v>3152</v>
      </c>
      <c r="F3" s="243" t="s">
        <v>3152</v>
      </c>
      <c r="G3" s="244" t="s">
        <v>3152</v>
      </c>
      <c r="H3" s="245" t="s">
        <v>3152</v>
      </c>
      <c r="I3" s="514"/>
      <c r="J3" s="540"/>
      <c r="N3" s="537"/>
      <c r="O3" s="206" t="s">
        <v>34</v>
      </c>
      <c r="P3" s="207" t="s">
        <v>3165</v>
      </c>
      <c r="Q3" s="325" t="s">
        <v>3377</v>
      </c>
      <c r="R3" s="209" t="s">
        <v>3177</v>
      </c>
      <c r="S3" s="174" t="s">
        <v>3110</v>
      </c>
      <c r="T3" s="169" t="s">
        <v>3376</v>
      </c>
      <c r="U3" s="169" t="s">
        <v>3111</v>
      </c>
      <c r="V3" s="169" t="s">
        <v>3112</v>
      </c>
      <c r="W3" s="549"/>
      <c r="Z3" s="3"/>
      <c r="AA3" s="259"/>
      <c r="AB3" s="259"/>
      <c r="AC3" s="3"/>
      <c r="AD3" s="260"/>
      <c r="AE3" s="260"/>
      <c r="AF3" s="260"/>
      <c r="AG3" s="260"/>
    </row>
    <row r="4" spans="1:33" ht="16" x14ac:dyDescent="0.35">
      <c r="A4" s="102">
        <f>_xlfn.XLOOKUP(B4, 'Open Source Tools'!$E$3:$E$208, 'Open Source Tools'!$A$3:$A$208, "Not found")</f>
        <v>96</v>
      </c>
      <c r="B4" s="9" t="s">
        <v>3281</v>
      </c>
      <c r="C4" t="str">
        <f>INDEX('Open Source Tools'!C:C, MATCH(B4, 'Open Source Tools'!E:E, 0))</f>
        <v>Energy Management and Monitoring Tools</v>
      </c>
      <c r="D4" t="str">
        <f>VLOOKUP(B4,'TRL Metrics Score'!$B$5:$C$208, 2,FALSE)</f>
        <v>Community Energy Management Systems (CEMS)</v>
      </c>
      <c r="E4" s="71">
        <f>VLOOKUP($B4,'TRL per Applications'!$B$5:$AC$82,10,FALSE)</f>
        <v>3.4166666666666665</v>
      </c>
      <c r="F4" s="102">
        <f>VLOOKUP($B4,'TRL per Applications'!$B$5:$AC$82,15,FALSE)</f>
        <v>4.333333333333333</v>
      </c>
      <c r="G4" s="71">
        <f>VLOOKUP($B4,'TRL per Applications'!$B$5:$AC$82,22,FALSE)</f>
        <v>4.25</v>
      </c>
      <c r="H4" s="203">
        <f>VLOOKUP($B4,'TRL per Applications'!$B$5:$AC$82,27,FALSE)</f>
        <v>4.333333333333333</v>
      </c>
      <c r="I4" s="393">
        <f>VLOOKUP($B4,'TRL per Applications'!$B$5:$AC$82,28,FALSE)</f>
        <v>4.1833333333333336</v>
      </c>
      <c r="J4" s="299" cm="1">
        <f t="array" ref="J4">+_xlfn.IFS(
  AND(I4&gt;=1, I4&lt;1.5), 1,
  AND(I4&gt;=1.5, I4&lt;2), 2,
  AND(I4&gt;=2, I4&lt;2.3), 3,
  AND(I4&gt;=2.3, I4&lt;2.6), 4,
  AND(I4&gt;=2.6, I4&lt;3), 5,
  AND(I4&gt;=3, I4&lt;3.5), 6,
  AND(I4&gt;=3.5, I4&lt;4), 7,
  AND(I4&gt;=4, I4&lt;=4.499), 8,
  AND(I4&gt;=4.5, I4&lt;=5), 9
)</f>
        <v>8</v>
      </c>
      <c r="N4" s="537"/>
      <c r="O4" s="204">
        <v>1</v>
      </c>
      <c r="P4" s="171" t="s">
        <v>3281</v>
      </c>
      <c r="Q4" s="326" t="s">
        <v>123</v>
      </c>
      <c r="R4" s="208">
        <v>8</v>
      </c>
      <c r="S4" s="175">
        <v>3.4166666666666665</v>
      </c>
      <c r="T4" s="170">
        <v>4.333333333333333</v>
      </c>
      <c r="U4" s="170">
        <v>4.25</v>
      </c>
      <c r="V4" s="170">
        <v>4.333333333333333</v>
      </c>
      <c r="W4" s="549"/>
      <c r="Z4" s="11"/>
      <c r="AA4" s="261"/>
      <c r="AB4" s="261"/>
      <c r="AC4" s="271"/>
      <c r="AD4" s="263"/>
      <c r="AE4" s="263"/>
      <c r="AF4" s="263"/>
      <c r="AG4" s="263"/>
    </row>
    <row r="5" spans="1:33" ht="16" x14ac:dyDescent="0.35">
      <c r="A5" s="102">
        <f>_xlfn.XLOOKUP(B5, 'Open Source Tools'!$E$3:$E$208, 'Open Source Tools'!$A$3:$A$208, "Not found")</f>
        <v>107</v>
      </c>
      <c r="B5" s="9" t="s">
        <v>1845</v>
      </c>
      <c r="C5" t="str">
        <f>INDEX('Open Source Tools'!C:C, MATCH(B5, 'Open Source Tools'!E:E, 0))</f>
        <v>Energy Management and Monitoring Tools</v>
      </c>
      <c r="D5" t="str">
        <f>VLOOKUP(B5,'TRL Metrics Score'!$B$5:$C$208, 2,FALSE)</f>
        <v>Home Energy Management Systems (HEMS)</v>
      </c>
      <c r="E5" s="71">
        <f>VLOOKUP($B5,'TRL per Applications'!$B$5:$AC$82,10,FALSE)</f>
        <v>3.4166666666666665</v>
      </c>
      <c r="F5" s="102">
        <f>VLOOKUP($B5,'TRL per Applications'!$B$5:$AC$82,15,FALSE)</f>
        <v>4.7777777777777777</v>
      </c>
      <c r="G5" s="71">
        <f>VLOOKUP($B5,'TRL per Applications'!$B$5:$AC$82,22,FALSE)</f>
        <v>4.166666666666667</v>
      </c>
      <c r="H5" s="203">
        <f>VLOOKUP($B5,'TRL per Applications'!$B$5:$AC$82,27,FALSE)</f>
        <v>4.833333333333333</v>
      </c>
      <c r="I5" s="388">
        <f>VLOOKUP($B5,'TRL per Applications'!$B$5:$AC$82,28,FALSE)</f>
        <v>4.509722222222222</v>
      </c>
      <c r="J5" s="299" cm="1">
        <f t="array" ref="J5">+_xlfn.IFS(
  AND(I5&gt;=1, I5&lt;1.5), 1,
  AND(I5&gt;=1.5, I5&lt;2), 2,
  AND(I5&gt;=2, I5&lt;2.3), 3,
  AND(I5&gt;=2.3, I5&lt;2.6), 4,
  AND(I5&gt;=2.6, I5&lt;3), 5,
  AND(I5&gt;=3, I5&lt;3.5), 6,
  AND(I5&gt;=3.5, I5&lt;4), 7,
  AND(I5&gt;=4, I5&lt;=4.499), 8,
  AND(I5&gt;=4.5, I5&lt;=5), 9
)</f>
        <v>9</v>
      </c>
      <c r="N5" s="537"/>
      <c r="O5" s="204">
        <v>2</v>
      </c>
      <c r="P5" s="171" t="s">
        <v>1845</v>
      </c>
      <c r="Q5" s="326" t="s">
        <v>128</v>
      </c>
      <c r="R5" s="177">
        <v>9</v>
      </c>
      <c r="S5" s="175">
        <v>3.4166666666666665</v>
      </c>
      <c r="T5" s="170">
        <v>4.7777777777777777</v>
      </c>
      <c r="U5" s="170">
        <v>4.166666666666667</v>
      </c>
      <c r="V5" s="170">
        <v>4.833333333333333</v>
      </c>
      <c r="W5" s="549"/>
      <c r="Z5" s="11"/>
      <c r="AA5" s="261"/>
      <c r="AB5" s="261"/>
      <c r="AC5" s="271"/>
      <c r="AD5" s="263"/>
      <c r="AE5" s="263"/>
      <c r="AF5" s="263"/>
      <c r="AG5" s="263"/>
    </row>
    <row r="6" spans="1:33" ht="16" x14ac:dyDescent="0.4">
      <c r="A6" s="102">
        <f>_xlfn.XLOOKUP(B6, 'Open Source Tools'!$E$3:$E$208, 'Open Source Tools'!$A$3:$A$208, "Not found")</f>
        <v>114</v>
      </c>
      <c r="B6" s="151" t="s">
        <v>1961</v>
      </c>
      <c r="C6" t="str">
        <f>INDEX('Open Source Tools'!C:C, MATCH(B6, 'Open Source Tools'!E:E, 0))</f>
        <v>Energy Management and Monitoring Tools</v>
      </c>
      <c r="D6" t="str">
        <f>VLOOKUP(B6,'TRL Metrics Score'!$B$5:$C$208, 2,FALSE)</f>
        <v>Demand Response Systems</v>
      </c>
      <c r="E6" s="71">
        <f>VLOOKUP($B6,'TRL per Applications'!$B$5:$AC$82,10,FALSE)</f>
        <v>2.75</v>
      </c>
      <c r="F6" s="102">
        <f>VLOOKUP($B6,'TRL per Applications'!$B$5:$AC$82,15,FALSE)</f>
        <v>4.7777777777777777</v>
      </c>
      <c r="G6" s="71">
        <f>VLOOKUP($B6,'TRL per Applications'!$B$5:$AC$82,22,FALSE)</f>
        <v>4.25</v>
      </c>
      <c r="H6" s="203">
        <f>VLOOKUP($B6,'TRL per Applications'!$B$5:$AC$82,27,FALSE)</f>
        <v>4.166666666666667</v>
      </c>
      <c r="I6" s="388">
        <f>VLOOKUP($B6,'TRL per Applications'!$B$5:$AC$82,28,FALSE)</f>
        <v>4.0888888888888886</v>
      </c>
      <c r="J6" s="299" cm="1">
        <f t="array" ref="J6">+_xlfn.IFS(
  AND(I6&gt;=1, I6&lt;1.5), 1,
  AND(I6&gt;=1.5, I6&lt;2), 2,
  AND(I6&gt;=2, I6&lt;2.3), 3,
  AND(I6&gt;=2.3, I6&lt;2.6), 4,
  AND(I6&gt;=2.6, I6&lt;3), 5,
  AND(I6&gt;=3, I6&lt;3.5), 6,
  AND(I6&gt;=3.5, I6&lt;4), 7,
  AND(I6&gt;=4, I6&lt;=4.499), 8,
  AND(I6&gt;=4.5, I6&lt;=5), 9
)</f>
        <v>8</v>
      </c>
      <c r="N6" s="537"/>
      <c r="O6" s="204">
        <v>3</v>
      </c>
      <c r="P6" s="171" t="s">
        <v>1961</v>
      </c>
      <c r="Q6" s="326" t="s">
        <v>131</v>
      </c>
      <c r="R6" s="177">
        <v>8</v>
      </c>
      <c r="S6" s="175">
        <v>2.75</v>
      </c>
      <c r="T6" s="170">
        <v>4.7777777777777777</v>
      </c>
      <c r="U6" s="170">
        <v>4.25</v>
      </c>
      <c r="V6" s="170">
        <v>4.166666666666667</v>
      </c>
      <c r="W6" s="549"/>
      <c r="Z6" s="11"/>
      <c r="AA6" s="261"/>
      <c r="AB6" s="261"/>
      <c r="AC6" s="271"/>
      <c r="AD6" s="263"/>
      <c r="AE6" s="263"/>
      <c r="AF6" s="263"/>
      <c r="AG6" s="263"/>
    </row>
    <row r="7" spans="1:33" ht="16" x14ac:dyDescent="0.35">
      <c r="A7" s="102">
        <f>_xlfn.XLOOKUP(B7, 'Open Source Tools'!$E$3:$E$208, 'Open Source Tools'!$A$3:$A$208, "Not found")</f>
        <v>127</v>
      </c>
      <c r="B7" s="9" t="s">
        <v>2148</v>
      </c>
      <c r="C7" t="str">
        <f>INDEX('Open Source Tools'!C:C, MATCH(B7, 'Open Source Tools'!E:E, 0))</f>
        <v>Energy Management and Monitoring Tools</v>
      </c>
      <c r="D7" t="str">
        <f>VLOOKUP(B7,'TRL Metrics Score'!$B$5:$C$208, 2,FALSE)</f>
        <v>Real-Time Energy Monitoring Platforms</v>
      </c>
      <c r="E7" s="71">
        <f>VLOOKUP($B7,'TRL per Applications'!$B$5:$AC$82,10,FALSE)</f>
        <v>2.25</v>
      </c>
      <c r="F7" s="102">
        <f>VLOOKUP($B7,'TRL per Applications'!$B$5:$AC$82,15,FALSE)</f>
        <v>4.1111111111111107</v>
      </c>
      <c r="G7" s="71">
        <f>VLOOKUP($B7,'TRL per Applications'!$B$5:$AC$82,22,FALSE)</f>
        <v>2.9166666666666665</v>
      </c>
      <c r="H7" s="203">
        <f>VLOOKUP($B7,'TRL per Applications'!$B$5:$AC$82,27,FALSE)</f>
        <v>4.583333333333333</v>
      </c>
      <c r="I7" s="388">
        <f>VLOOKUP($B7,'TRL per Applications'!$B$5:$AC$82,28,FALSE)</f>
        <v>3.8888888888888884</v>
      </c>
      <c r="J7" s="299" cm="1">
        <f t="array" ref="J7">+_xlfn.IFS(
  AND(I7&gt;=1, I7&lt;1.5), 1,
  AND(I7&gt;=1.5, I7&lt;2), 2,
  AND(I7&gt;=2, I7&lt;2.3), 3,
  AND(I7&gt;=2.3, I7&lt;2.6), 4,
  AND(I7&gt;=2.6, I7&lt;3), 5,
  AND(I7&gt;=3, I7&lt;3.5), 6,
  AND(I7&gt;=3.5, I7&lt;4), 7,
  AND(I7&gt;=4, I7&lt;=4.499), 8,
  AND(I7&gt;=4.5, I7&lt;=5), 9
)</f>
        <v>7</v>
      </c>
      <c r="N7" s="537"/>
      <c r="O7" s="204">
        <v>4</v>
      </c>
      <c r="P7" s="171" t="s">
        <v>2148</v>
      </c>
      <c r="Q7" s="326" t="s">
        <v>137</v>
      </c>
      <c r="R7" s="177">
        <v>7</v>
      </c>
      <c r="S7" s="175">
        <v>2.25</v>
      </c>
      <c r="T7" s="170">
        <v>4.1111111111111107</v>
      </c>
      <c r="U7" s="170">
        <v>2.9166666666666665</v>
      </c>
      <c r="V7" s="170">
        <v>4.583333333333333</v>
      </c>
      <c r="W7" s="549"/>
      <c r="Z7" s="11"/>
      <c r="AA7" s="261"/>
      <c r="AB7" s="261"/>
      <c r="AC7" s="271"/>
      <c r="AD7" s="263"/>
      <c r="AE7" s="263"/>
      <c r="AF7" s="263"/>
      <c r="AG7" s="263"/>
    </row>
    <row r="8" spans="1:33" ht="16" x14ac:dyDescent="0.4">
      <c r="A8" s="102">
        <f>_xlfn.XLOOKUP(B8, 'Open Source Tools'!$E$3:$E$208, 'Open Source Tools'!$A$3:$A$208, "Not found")</f>
        <v>137</v>
      </c>
      <c r="B8" s="151" t="s">
        <v>2284</v>
      </c>
      <c r="C8" t="str">
        <f>INDEX('Open Source Tools'!C:C, MATCH(B8, 'Open Source Tools'!E:E, 0))</f>
        <v>Energy Management and Monitoring Tools</v>
      </c>
      <c r="D8" t="str">
        <f>VLOOKUP(B8,'TRL Metrics Score'!$B$5:$C$208, 2,FALSE)</f>
        <v>Energy Analytics Platforms</v>
      </c>
      <c r="E8" s="71">
        <f>VLOOKUP($B8,'TRL per Applications'!$B$5:$AC$82,10,FALSE)</f>
        <v>4.166666666666667</v>
      </c>
      <c r="F8" s="102">
        <f>VLOOKUP($B8,'TRL per Applications'!$B$5:$AC$82,15,FALSE)</f>
        <v>4.7777777777777777</v>
      </c>
      <c r="G8" s="71">
        <f>VLOOKUP($B8,'TRL per Applications'!$B$5:$AC$82,22,FALSE)</f>
        <v>4.25</v>
      </c>
      <c r="H8" s="203">
        <f>VLOOKUP($B8,'TRL per Applications'!$B$5:$AC$82,27,FALSE)</f>
        <v>4.583333333333333</v>
      </c>
      <c r="I8" s="388">
        <f>VLOOKUP($B8,'TRL per Applications'!$B$5:$AC$82,28,FALSE)</f>
        <v>4.5097222222222229</v>
      </c>
      <c r="J8" s="299" cm="1">
        <f t="array" ref="J8">+_xlfn.IFS(
  AND(I8&gt;=1, I8&lt;1.5), 1,
  AND(I8&gt;=1.5, I8&lt;2), 2,
  AND(I8&gt;=2, I8&lt;2.3), 3,
  AND(I8&gt;=2.3, I8&lt;2.6), 4,
  AND(I8&gt;=2.6, I8&lt;3), 5,
  AND(I8&gt;=3, I8&lt;3.5), 6,
  AND(I8&gt;=3.5, I8&lt;4), 7,
  AND(I8&gt;=4, I8&lt;=4.499), 8,
  AND(I8&gt;=4.5, I8&lt;=5), 9
)</f>
        <v>9</v>
      </c>
      <c r="N8" s="537"/>
      <c r="O8" s="204">
        <v>5</v>
      </c>
      <c r="P8" s="171" t="s">
        <v>2284</v>
      </c>
      <c r="Q8" s="326" t="s">
        <v>140</v>
      </c>
      <c r="R8" s="177">
        <v>9</v>
      </c>
      <c r="S8" s="175">
        <v>4.166666666666667</v>
      </c>
      <c r="T8" s="170">
        <v>4.7777777777777777</v>
      </c>
      <c r="U8" s="170">
        <v>4.25</v>
      </c>
      <c r="V8" s="170">
        <v>4.583333333333333</v>
      </c>
      <c r="W8" s="549"/>
      <c r="Z8" s="11"/>
      <c r="AA8" s="261"/>
      <c r="AB8" s="261"/>
      <c r="AC8" s="271"/>
      <c r="AD8" s="263"/>
      <c r="AE8" s="263"/>
      <c r="AF8" s="263"/>
      <c r="AG8" s="263"/>
    </row>
    <row r="9" spans="1:33" ht="16" x14ac:dyDescent="0.35">
      <c r="A9" s="102">
        <f>_xlfn.XLOOKUP(B9, 'Open Source Tools'!$E$3:$E$208, 'Open Source Tools'!$A$3:$A$208, "Not found")</f>
        <v>142</v>
      </c>
      <c r="B9" s="9" t="s">
        <v>2348</v>
      </c>
      <c r="C9" t="str">
        <f>INDEX('Open Source Tools'!C:C, MATCH(B9, 'Open Source Tools'!E:E, 0))</f>
        <v>Modelling and Simulation</v>
      </c>
      <c r="D9" t="str">
        <f>VLOOKUP(B9,'TRL Metrics Score'!$B$5:$C$208, 2,FALSE)</f>
        <v>DSO level modelling</v>
      </c>
      <c r="E9" s="71">
        <f>VLOOKUP($B9,'TRL per Applications'!$B$5:$AC$82,10,FALSE)</f>
        <v>3.6666666666666665</v>
      </c>
      <c r="F9" s="102">
        <f>VLOOKUP($B9,'TRL per Applications'!$B$5:$AC$82,15,FALSE)</f>
        <v>3.8888888888888888</v>
      </c>
      <c r="G9" s="71">
        <f>VLOOKUP($B9,'TRL per Applications'!$B$5:$AC$82,22,FALSE)</f>
        <v>4</v>
      </c>
      <c r="H9" s="203">
        <f>VLOOKUP($B9,'TRL per Applications'!$B$5:$AC$82,27,FALSE)</f>
        <v>4.583333333333333</v>
      </c>
      <c r="I9" s="388">
        <f>VLOOKUP($B9,'TRL per Applications'!$B$5:$AC$82,28,FALSE)</f>
        <v>4.2194444444444441</v>
      </c>
      <c r="J9" s="299" cm="1">
        <f t="array" ref="J9">+_xlfn.IFS(
  AND(I9&gt;=1, I9&lt;1.5), 1,
  AND(I9&gt;=1.5, I9&lt;2), 2,
  AND(I9&gt;=2, I9&lt;2.3), 3,
  AND(I9&gt;=2.3, I9&lt;2.6), 4,
  AND(I9&gt;=2.6, I9&lt;3), 5,
  AND(I9&gt;=3, I9&lt;3.5), 6,
  AND(I9&gt;=3.5, I9&lt;4), 7,
  AND(I9&gt;=4, I9&lt;=4.499), 8,
  AND(I9&gt;=4.5, I9&lt;=5), 9
)</f>
        <v>8</v>
      </c>
      <c r="N9" s="537"/>
      <c r="O9" s="204">
        <v>6</v>
      </c>
      <c r="P9" s="171" t="s">
        <v>2348</v>
      </c>
      <c r="Q9" s="326" t="s">
        <v>438</v>
      </c>
      <c r="R9" s="177">
        <v>8</v>
      </c>
      <c r="S9" s="175">
        <v>3.6666666666666665</v>
      </c>
      <c r="T9" s="170">
        <v>3.8888888888888888</v>
      </c>
      <c r="U9" s="170">
        <v>4</v>
      </c>
      <c r="V9" s="170">
        <v>4.583333333333333</v>
      </c>
      <c r="W9" s="549"/>
      <c r="Z9" s="11"/>
      <c r="AA9" s="261"/>
      <c r="AB9" s="261"/>
      <c r="AC9" s="271"/>
      <c r="AD9" s="263"/>
      <c r="AE9" s="263"/>
      <c r="AF9" s="263"/>
      <c r="AG9" s="263"/>
    </row>
    <row r="10" spans="1:33" ht="16" x14ac:dyDescent="0.35">
      <c r="A10" s="102">
        <f>_xlfn.XLOOKUP(B10, 'Open Source Tools'!$E$3:$E$208, 'Open Source Tools'!$A$3:$A$208, "Not found")</f>
        <v>99</v>
      </c>
      <c r="B10" s="9" t="s">
        <v>1725</v>
      </c>
      <c r="C10" t="str">
        <f>INDEX('Open Source Tools'!C:C, MATCH(B10, 'Open Source Tools'!E:E, 0))</f>
        <v>Modelling and Simulation</v>
      </c>
      <c r="D10" t="str">
        <f>VLOOKUP(B10,'TRL Metrics Score'!$B$5:$C$208, 2,FALSE)</f>
        <v>Community level Modelling</v>
      </c>
      <c r="E10" s="71">
        <f>VLOOKUP($B10,'TRL per Applications'!$B$5:$AC$82,10,FALSE)</f>
        <v>3.5833333333333335</v>
      </c>
      <c r="F10" s="102">
        <f>VLOOKUP($B10,'TRL per Applications'!$B$5:$AC$82,15,FALSE)</f>
        <v>4.7777777777777777</v>
      </c>
      <c r="G10" s="71">
        <f>VLOOKUP($B10,'TRL per Applications'!$B$5:$AC$82,22,FALSE)</f>
        <v>4</v>
      </c>
      <c r="H10" s="203">
        <f>VLOOKUP($B10,'TRL per Applications'!$B$5:$AC$82,27,FALSE)</f>
        <v>4.666666666666667</v>
      </c>
      <c r="I10" s="388">
        <f>VLOOKUP($B10,'TRL per Applications'!$B$5:$AC$82,28,FALSE)</f>
        <v>4.4263888888888889</v>
      </c>
      <c r="J10" s="299" cm="1">
        <f t="array" ref="J10">+_xlfn.IFS(
  AND(I10&gt;=1, I10&lt;1.5), 1,
  AND(I10&gt;=1.5, I10&lt;2), 2,
  AND(I10&gt;=2, I10&lt;2.3), 3,
  AND(I10&gt;=2.3, I10&lt;2.6), 4,
  AND(I10&gt;=2.6, I10&lt;3), 5,
  AND(I10&gt;=3, I10&lt;3.5), 6,
  AND(I10&gt;=3.5, I10&lt;4), 7,
  AND(I10&gt;=4, I10&lt;=4.499), 8,
  AND(I10&gt;=4.5, I10&lt;=5), 9
)</f>
        <v>8</v>
      </c>
      <c r="N10" s="537"/>
      <c r="O10" s="204">
        <v>7</v>
      </c>
      <c r="P10" s="171" t="s">
        <v>1725</v>
      </c>
      <c r="Q10" s="326" t="s">
        <v>441</v>
      </c>
      <c r="R10" s="177">
        <v>8</v>
      </c>
      <c r="S10" s="175">
        <v>3.5833333333333335</v>
      </c>
      <c r="T10" s="170">
        <v>4.7777777777777777</v>
      </c>
      <c r="U10" s="170">
        <v>4</v>
      </c>
      <c r="V10" s="170">
        <v>4.666666666666667</v>
      </c>
      <c r="W10" s="549"/>
      <c r="Z10" s="11"/>
      <c r="AA10" s="261"/>
      <c r="AB10" s="261"/>
      <c r="AC10" s="271"/>
      <c r="AD10" s="263"/>
      <c r="AE10" s="263"/>
      <c r="AF10" s="263"/>
      <c r="AG10" s="263"/>
    </row>
    <row r="11" spans="1:33" ht="16" x14ac:dyDescent="0.35">
      <c r="A11" s="102">
        <f>_xlfn.XLOOKUP(B11, 'Open Source Tools'!$E$3:$E$208, 'Open Source Tools'!$A$3:$A$208, "Not found")</f>
        <v>159</v>
      </c>
      <c r="B11" s="9" t="s">
        <v>2578</v>
      </c>
      <c r="C11" t="str">
        <f>INDEX('Open Source Tools'!C:C, MATCH(B11, 'Open Source Tools'!E:E, 0))</f>
        <v>Modelling and Simulation</v>
      </c>
      <c r="D11" t="str">
        <f>VLOOKUP(B11,'TRL Metrics Score'!$B$5:$C$208, 2,FALSE)</f>
        <v>Individual Unit modelling</v>
      </c>
      <c r="E11" s="71">
        <f>VLOOKUP($B11,'TRL per Applications'!$B$5:$AC$82,10,FALSE)</f>
        <v>3.1666666666666665</v>
      </c>
      <c r="F11" s="102">
        <f>VLOOKUP($B11,'TRL per Applications'!$B$5:$AC$82,15,FALSE)</f>
        <v>3.6666666666666665</v>
      </c>
      <c r="G11" s="71">
        <f>VLOOKUP($B11,'TRL per Applications'!$B$5:$AC$82,22,FALSE)</f>
        <v>4.166666666666667</v>
      </c>
      <c r="H11" s="203">
        <f>VLOOKUP($B11,'TRL per Applications'!$B$5:$AC$82,27,FALSE)</f>
        <v>4.666666666666667</v>
      </c>
      <c r="I11" s="388">
        <f>VLOOKUP($B11,'TRL per Applications'!$B$5:$AC$82,28,FALSE)</f>
        <v>4.166666666666667</v>
      </c>
      <c r="J11" s="299" cm="1">
        <f t="array" ref="J11">+_xlfn.IFS(
  AND(I11&gt;=1, I11&lt;1.5), 1,
  AND(I11&gt;=1.5, I11&lt;2), 2,
  AND(I11&gt;=2, I11&lt;2.3), 3,
  AND(I11&gt;=2.3, I11&lt;2.6), 4,
  AND(I11&gt;=2.6, I11&lt;3), 5,
  AND(I11&gt;=3, I11&lt;3.5), 6,
  AND(I11&gt;=3.5, I11&lt;4), 7,
  AND(I11&gt;=4, I11&lt;=4.499), 8,
  AND(I11&gt;=4.5, I11&lt;=5), 9
)</f>
        <v>8</v>
      </c>
      <c r="N11" s="537"/>
      <c r="O11" s="204">
        <v>8</v>
      </c>
      <c r="P11" s="171" t="s">
        <v>2578</v>
      </c>
      <c r="Q11" s="326" t="s">
        <v>444</v>
      </c>
      <c r="R11" s="177">
        <v>8</v>
      </c>
      <c r="S11" s="175">
        <v>3.1666666666666665</v>
      </c>
      <c r="T11" s="170">
        <v>3.6666666666666665</v>
      </c>
      <c r="U11" s="170">
        <v>4.166666666666667</v>
      </c>
      <c r="V11" s="170">
        <v>4.666666666666667</v>
      </c>
      <c r="W11" s="549"/>
      <c r="Z11" s="11"/>
      <c r="AA11" s="261"/>
      <c r="AB11" s="261"/>
      <c r="AC11" s="271"/>
      <c r="AD11" s="263"/>
      <c r="AE11" s="263"/>
      <c r="AF11" s="263"/>
      <c r="AG11" s="263"/>
    </row>
    <row r="12" spans="1:33" ht="16" x14ac:dyDescent="0.35">
      <c r="A12" s="102">
        <f>_xlfn.XLOOKUP(B12, 'Open Source Tools'!$E$3:$E$208, 'Open Source Tools'!$A$3:$A$208, "Not found")</f>
        <v>167</v>
      </c>
      <c r="B12" s="9" t="s">
        <v>2679</v>
      </c>
      <c r="C12" t="str">
        <f>INDEX('Open Source Tools'!C:C, MATCH(B12, 'Open Source Tools'!E:E, 0))</f>
        <v>Modelling and Simulation</v>
      </c>
      <c r="D12" t="str">
        <f>VLOOKUP(B12,'TRL Metrics Score'!$B$5:$C$208, 2,FALSE)</f>
        <v>Energy System Simulation Tools (e.g., HOMER, PLEXOS)</v>
      </c>
      <c r="E12" s="71">
        <f>VLOOKUP($B12,'TRL per Applications'!$B$5:$AC$82,10,FALSE)</f>
        <v>2.8333333333333335</v>
      </c>
      <c r="F12" s="102">
        <f>VLOOKUP($B12,'TRL per Applications'!$B$5:$AC$82,15,FALSE)</f>
        <v>4.1111111111111107</v>
      </c>
      <c r="G12" s="71">
        <f>VLOOKUP($B12,'TRL per Applications'!$B$5:$AC$82,22,FALSE)</f>
        <v>3.75</v>
      </c>
      <c r="H12" s="203">
        <f>VLOOKUP($B12,'TRL per Applications'!$B$5:$AC$82,27,FALSE)</f>
        <v>4.916666666666667</v>
      </c>
      <c r="I12" s="388">
        <f>VLOOKUP($B12,'TRL per Applications'!$B$5:$AC$82,28,FALSE)</f>
        <v>4.2680555555555557</v>
      </c>
      <c r="J12" s="299" cm="1">
        <f t="array" ref="J12">+_xlfn.IFS(
  AND(I12&gt;=1, I12&lt;1.5), 1,
  AND(I12&gt;=1.5, I12&lt;2), 2,
  AND(I12&gt;=2, I12&lt;2.3), 3,
  AND(I12&gt;=2.3, I12&lt;2.6), 4,
  AND(I12&gt;=2.6, I12&lt;3), 5,
  AND(I12&gt;=3, I12&lt;3.5), 6,
  AND(I12&gt;=3.5, I12&lt;4), 7,
  AND(I12&gt;=4, I12&lt;=4.499), 8,
  AND(I12&gt;=4.5, I12&lt;=5), 9
)</f>
        <v>8</v>
      </c>
      <c r="N12" s="537"/>
      <c r="O12" s="204">
        <v>9</v>
      </c>
      <c r="P12" s="171" t="s">
        <v>2679</v>
      </c>
      <c r="Q12" s="326" t="s">
        <v>447</v>
      </c>
      <c r="R12" s="177">
        <v>8</v>
      </c>
      <c r="S12" s="175">
        <v>2.8333333333333335</v>
      </c>
      <c r="T12" s="170">
        <v>4.1111111111111107</v>
      </c>
      <c r="U12" s="170">
        <v>3.75</v>
      </c>
      <c r="V12" s="170">
        <v>4.916666666666667</v>
      </c>
      <c r="W12" s="549"/>
      <c r="Z12" s="11"/>
      <c r="AA12" s="261"/>
      <c r="AB12" s="261"/>
      <c r="AC12" s="271"/>
      <c r="AD12" s="263"/>
      <c r="AE12" s="263"/>
      <c r="AF12" s="263"/>
      <c r="AG12" s="263"/>
    </row>
    <row r="13" spans="1:33" ht="16" x14ac:dyDescent="0.35">
      <c r="A13" s="102">
        <f>_xlfn.XLOOKUP(B13, 'Open Source Tools'!$E$3:$E$208, 'Open Source Tools'!$A$3:$A$208, "Not found")</f>
        <v>174</v>
      </c>
      <c r="B13" s="9" t="s">
        <v>2764</v>
      </c>
      <c r="C13" t="str">
        <f>INDEX('Open Source Tools'!C:C, MATCH(B13, 'Open Source Tools'!E:E, 0))</f>
        <v>Modelling and Simulation</v>
      </c>
      <c r="D13" t="str">
        <f>VLOOKUP(B13,'TRL Metrics Score'!$B$5:$C$208, 2,FALSE)</f>
        <v>Collaborative Decision-Making Platforms</v>
      </c>
      <c r="E13" s="71">
        <f>VLOOKUP($B13,'TRL per Applications'!$B$5:$AC$82,10,FALSE)</f>
        <v>3.5833333333333335</v>
      </c>
      <c r="F13" s="102">
        <f>VLOOKUP($B13,'TRL per Applications'!$B$5:$AC$82,15,FALSE)</f>
        <v>4.1111111111111107</v>
      </c>
      <c r="G13" s="71">
        <f>VLOOKUP($B13,'TRL per Applications'!$B$5:$AC$82,22,FALSE)</f>
        <v>4.666666666666667</v>
      </c>
      <c r="H13" s="203">
        <f>VLOOKUP($B13,'TRL per Applications'!$B$5:$AC$82,27,FALSE)</f>
        <v>4.583333333333333</v>
      </c>
      <c r="I13" s="388">
        <f>VLOOKUP($B13,'TRL per Applications'!$B$5:$AC$82,28,FALSE)</f>
        <v>4.3513888888888888</v>
      </c>
      <c r="J13" s="299" cm="1">
        <f t="array" ref="J13">+_xlfn.IFS(
  AND(I13&gt;=1, I13&lt;1.5), 1,
  AND(I13&gt;=1.5, I13&lt;2), 2,
  AND(I13&gt;=2, I13&lt;2.3), 3,
  AND(I13&gt;=2.3, I13&lt;2.6), 4,
  AND(I13&gt;=2.6, I13&lt;3), 5,
  AND(I13&gt;=3, I13&lt;3.5), 6,
  AND(I13&gt;=3.5, I13&lt;4), 7,
  AND(I13&gt;=4, I13&lt;=4.499), 8,
  AND(I13&gt;=4.5, I13&lt;=5), 9
)</f>
        <v>8</v>
      </c>
      <c r="N13" s="537"/>
      <c r="O13" s="204">
        <v>10</v>
      </c>
      <c r="P13" s="171" t="s">
        <v>2764</v>
      </c>
      <c r="Q13" s="326" t="s">
        <v>453</v>
      </c>
      <c r="R13" s="177">
        <v>8</v>
      </c>
      <c r="S13" s="175">
        <v>3.5833333333333335</v>
      </c>
      <c r="T13" s="170">
        <v>4.1111111111111107</v>
      </c>
      <c r="U13" s="170">
        <v>4.666666666666667</v>
      </c>
      <c r="V13" s="170">
        <v>4.583333333333333</v>
      </c>
      <c r="W13" s="549"/>
      <c r="Z13" s="11"/>
      <c r="AA13" s="261"/>
      <c r="AB13" s="261"/>
      <c r="AC13" s="271"/>
      <c r="AD13" s="263"/>
      <c r="AE13" s="263"/>
      <c r="AF13" s="263"/>
      <c r="AG13" s="263"/>
    </row>
    <row r="14" spans="1:33" ht="16" x14ac:dyDescent="0.35">
      <c r="A14" s="102">
        <f>_xlfn.XLOOKUP(B14, 'Open Source Tools'!$E$3:$E$208, 'Open Source Tools'!$A$3:$A$208, "Not found")</f>
        <v>182</v>
      </c>
      <c r="B14" s="9" t="s">
        <v>2861</v>
      </c>
      <c r="C14" t="str">
        <f>INDEX('Open Source Tools'!C:C, MATCH(B14, 'Open Source Tools'!E:E, 0))</f>
        <v xml:space="preserve">Settlement and Billing </v>
      </c>
      <c r="D14" t="str">
        <f>VLOOKUP(B14,'TRL Metrics Score'!$B$5:$C$208, 2,FALSE)</f>
        <v>Automated Billing Platforms (Dynamic pricing Billing systems)</v>
      </c>
      <c r="E14" s="71">
        <f>VLOOKUP($B14,'TRL per Applications'!$B$5:$AC$82,10,FALSE)</f>
        <v>4.5</v>
      </c>
      <c r="F14" s="102">
        <f>VLOOKUP($B14,'TRL per Applications'!$B$5:$AC$82,15,FALSE)</f>
        <v>4.333333333333333</v>
      </c>
      <c r="G14" s="71">
        <f>VLOOKUP($B14,'TRL per Applications'!$B$5:$AC$82,22,FALSE)</f>
        <v>4</v>
      </c>
      <c r="H14" s="203">
        <f>VLOOKUP($B14,'TRL per Applications'!$B$5:$AC$82,27,FALSE)</f>
        <v>4.416666666666667</v>
      </c>
      <c r="I14" s="388">
        <f>VLOOKUP($B14,'TRL per Applications'!$B$5:$AC$82,28,FALSE)</f>
        <v>4.3499999999999996</v>
      </c>
      <c r="J14" s="299" cm="1">
        <f t="array" ref="J14">+_xlfn.IFS(
  AND(I14&gt;=1, I14&lt;1.5), 1,
  AND(I14&gt;=1.5, I14&lt;2), 2,
  AND(I14&gt;=2, I14&lt;2.3), 3,
  AND(I14&gt;=2.3, I14&lt;2.6), 4,
  AND(I14&gt;=2.6, I14&lt;3), 5,
  AND(I14&gt;=3, I14&lt;3.5), 6,
  AND(I14&gt;=3.5, I14&lt;4), 7,
  AND(I14&gt;=4, I14&lt;=4.499), 8,
  AND(I14&gt;=4.5, I14&lt;=5), 9
)</f>
        <v>8</v>
      </c>
      <c r="N14" s="537"/>
      <c r="O14" s="204">
        <v>11</v>
      </c>
      <c r="P14" s="171" t="s">
        <v>2861</v>
      </c>
      <c r="Q14" s="326" t="s">
        <v>474</v>
      </c>
      <c r="R14" s="177">
        <v>8</v>
      </c>
      <c r="S14" s="175">
        <v>4.5</v>
      </c>
      <c r="T14" s="170">
        <v>4.333333333333333</v>
      </c>
      <c r="U14" s="170">
        <v>4</v>
      </c>
      <c r="V14" s="170">
        <v>4.416666666666667</v>
      </c>
      <c r="W14" s="549"/>
      <c r="Z14" s="11"/>
      <c r="AA14" s="261"/>
      <c r="AB14" s="261"/>
      <c r="AC14" s="271"/>
      <c r="AD14" s="263"/>
      <c r="AE14" s="263"/>
      <c r="AF14" s="263"/>
      <c r="AG14" s="263"/>
    </row>
    <row r="15" spans="1:33" ht="16" x14ac:dyDescent="0.35">
      <c r="A15" s="102">
        <f>_xlfn.XLOOKUP(B15, 'Open Source Tools'!$E$3:$E$208, 'Open Source Tools'!$A$3:$A$208, "Not found")</f>
        <v>47</v>
      </c>
      <c r="B15" s="9" t="s">
        <v>1101</v>
      </c>
      <c r="C15" t="str">
        <f>INDEX('Open Source Tools'!C:C, MATCH(B15, 'Open Source Tools'!E:E, 0))</f>
        <v>Artificial Intelligence and Machine Learning Tools</v>
      </c>
      <c r="D15" t="str">
        <f>VLOOKUP(B15,'TRL Metrics Score'!$B$5:$C$208, 2,FALSE)</f>
        <v>AI-Powered Energy Forecasting</v>
      </c>
      <c r="E15" s="71">
        <f>VLOOKUP($B15,'TRL per Applications'!$B$5:$AC$82,10,FALSE)</f>
        <v>3</v>
      </c>
      <c r="F15" s="102">
        <f>VLOOKUP($B15,'TRL per Applications'!$B$5:$AC$82,15,FALSE)</f>
        <v>4.5555555555555554</v>
      </c>
      <c r="G15" s="71">
        <f>VLOOKUP($B15,'TRL per Applications'!$B$5:$AC$82,22,FALSE)</f>
        <v>4</v>
      </c>
      <c r="H15" s="203">
        <f>VLOOKUP($B15,'TRL per Applications'!$B$5:$AC$82,27,FALSE)</f>
        <v>4.416666666666667</v>
      </c>
      <c r="I15" s="388">
        <f>VLOOKUP($B15,'TRL per Applications'!$B$5:$AC$82,28,FALSE)</f>
        <v>4.1694444444444443</v>
      </c>
      <c r="J15" s="299" cm="1">
        <f t="array" ref="J15">+_xlfn.IFS(
  AND(I15&gt;=1, I15&lt;1.5), 1,
  AND(I15&gt;=1.5, I15&lt;2), 2,
  AND(I15&gt;=2, I15&lt;2.3), 3,
  AND(I15&gt;=2.3, I15&lt;2.6), 4,
  AND(I15&gt;=2.6, I15&lt;3), 5,
  AND(I15&gt;=3, I15&lt;3.5), 6,
  AND(I15&gt;=3.5, I15&lt;4), 7,
  AND(I15&gt;=4, I15&lt;=4.499), 8,
  AND(I15&gt;=4.5, I15&lt;=5), 9
)</f>
        <v>8</v>
      </c>
      <c r="N15" s="537"/>
      <c r="O15" s="204">
        <v>12</v>
      </c>
      <c r="P15" s="171" t="s">
        <v>1784</v>
      </c>
      <c r="Q15" s="326" t="s">
        <v>148</v>
      </c>
      <c r="R15" s="177">
        <v>7</v>
      </c>
      <c r="S15" s="175">
        <v>1.75</v>
      </c>
      <c r="T15" s="170">
        <v>3.8888888888888888</v>
      </c>
      <c r="U15" s="170">
        <v>2.3333333333333335</v>
      </c>
      <c r="V15" s="170">
        <v>4.333333333333333</v>
      </c>
      <c r="W15" s="549"/>
      <c r="Z15" s="11"/>
      <c r="AA15" s="261"/>
      <c r="AB15" s="261"/>
      <c r="AC15" s="271"/>
      <c r="AD15" s="263"/>
      <c r="AE15" s="263"/>
      <c r="AF15" s="263"/>
      <c r="AG15" s="263"/>
    </row>
    <row r="16" spans="1:33" ht="16" x14ac:dyDescent="0.35">
      <c r="A16" s="102">
        <f>_xlfn.XLOOKUP(B16, 'Open Source Tools'!$E$3:$E$208, 'Open Source Tools'!$A$3:$A$208, "Not found")</f>
        <v>53</v>
      </c>
      <c r="B16" s="9" t="s">
        <v>1177</v>
      </c>
      <c r="C16" t="str">
        <f>INDEX('Open Source Tools'!C:C, MATCH(B16, 'Open Source Tools'!E:E, 0))</f>
        <v>Artificial Intelligence and Machine Learning Tools</v>
      </c>
      <c r="D16" t="str">
        <f>VLOOKUP(B16,'TRL Metrics Score'!$B$5:$C$208, 2,FALSE)</f>
        <v>Machine Learning Algorithms</v>
      </c>
      <c r="E16" s="71">
        <f>VLOOKUP($B16,'TRL per Applications'!$B$5:$AC$82,10,FALSE)</f>
        <v>4.75</v>
      </c>
      <c r="F16" s="102">
        <f>VLOOKUP($B16,'TRL per Applications'!$B$5:$AC$82,15,FALSE)</f>
        <v>4.1111111111111107</v>
      </c>
      <c r="G16" s="71">
        <f>VLOOKUP($B16,'TRL per Applications'!$B$5:$AC$82,22,FALSE)</f>
        <v>4.416666666666667</v>
      </c>
      <c r="H16" s="203">
        <f>VLOOKUP($B16,'TRL per Applications'!$B$5:$AC$82,27,FALSE)</f>
        <v>5</v>
      </c>
      <c r="I16" s="388">
        <f>VLOOKUP($B16,'TRL per Applications'!$B$5:$AC$82,28,FALSE)</f>
        <v>4.6972222222222229</v>
      </c>
      <c r="J16" s="299" cm="1">
        <f t="array" ref="J16">+_xlfn.IFS(
  AND(I16&gt;=1, I16&lt;1.5), 1,
  AND(I16&gt;=1.5, I16&lt;2), 2,
  AND(I16&gt;=2, I16&lt;2.3), 3,
  AND(I16&gt;=2.3, I16&lt;2.6), 4,
  AND(I16&gt;=2.6, I16&lt;3), 5,
  AND(I16&gt;=3, I16&lt;3.5), 6,
  AND(I16&gt;=3.5, I16&lt;4), 7,
  AND(I16&gt;=4, I16&lt;=4.499), 8,
  AND(I16&gt;=4.5, I16&lt;=5), 9
)</f>
        <v>9</v>
      </c>
      <c r="N16" s="537"/>
      <c r="O16" s="204">
        <v>13</v>
      </c>
      <c r="P16" s="171" t="s">
        <v>570</v>
      </c>
      <c r="Q16" s="326" t="s">
        <v>151</v>
      </c>
      <c r="R16" s="177">
        <v>7</v>
      </c>
      <c r="S16" s="175">
        <v>1.3333333333333333</v>
      </c>
      <c r="T16" s="170">
        <v>3.8888888888888888</v>
      </c>
      <c r="U16" s="170">
        <v>3.1666666666666665</v>
      </c>
      <c r="V16" s="170">
        <v>4.333333333333333</v>
      </c>
      <c r="W16" s="549"/>
      <c r="Z16" s="11"/>
      <c r="AA16" s="261"/>
      <c r="AB16" s="261"/>
      <c r="AC16" s="271"/>
      <c r="AD16" s="263"/>
      <c r="AE16" s="263"/>
      <c r="AF16" s="263"/>
      <c r="AG16" s="263"/>
    </row>
    <row r="17" spans="1:33" ht="16" x14ac:dyDescent="0.35">
      <c r="A17" s="102">
        <f>_xlfn.XLOOKUP(B17, 'Open Source Tools'!$E$3:$E$208, 'Open Source Tools'!$A$3:$A$208, "Not found")</f>
        <v>57</v>
      </c>
      <c r="B17" s="9" t="s">
        <v>1221</v>
      </c>
      <c r="C17" t="str">
        <f>INDEX('Open Source Tools'!C:C, MATCH(B17, 'Open Source Tools'!E:E, 0))</f>
        <v>Artificial Intelligence and Machine Learning Tools</v>
      </c>
      <c r="D17" t="str">
        <f>VLOOKUP(B17,'TRL Metrics Score'!$B$5:$C$208, 2,FALSE)</f>
        <v>AI-Driven Energy Optimization</v>
      </c>
      <c r="E17" s="71">
        <f>VLOOKUP($B17,'TRL per Applications'!$B$5:$AC$82,10,FALSE)</f>
        <v>1.6666666666666667</v>
      </c>
      <c r="F17" s="102">
        <f>VLOOKUP($B17,'TRL per Applications'!$B$5:$AC$82,15,FALSE)</f>
        <v>4.7777777777777777</v>
      </c>
      <c r="G17" s="71">
        <f>VLOOKUP($B17,'TRL per Applications'!$B$5:$AC$82,22,FALSE)</f>
        <v>3.25</v>
      </c>
      <c r="H17" s="203">
        <f>VLOOKUP($B17,'TRL per Applications'!$B$5:$AC$82,27,FALSE)</f>
        <v>3</v>
      </c>
      <c r="I17" s="388">
        <f>VLOOKUP($B17,'TRL per Applications'!$B$5:$AC$82,28,FALSE)</f>
        <v>3.1930555555555555</v>
      </c>
      <c r="J17" s="299" cm="1">
        <f t="array" ref="J17">+_xlfn.IFS(
  AND(I17&gt;=1, I17&lt;1.5), 1,
  AND(I17&gt;=1.5, I17&lt;2), 2,
  AND(I17&gt;=2, I17&lt;2.3), 3,
  AND(I17&gt;=2.3, I17&lt;2.6), 4,
  AND(I17&gt;=2.6, I17&lt;3), 5,
  AND(I17&gt;=3, I17&lt;3.5), 6,
  AND(I17&gt;=3.5, I17&lt;4), 7,
  AND(I17&gt;=4, I17&lt;=4.499), 8,
  AND(I17&gt;=4.5, I17&lt;=5), 9
)</f>
        <v>6</v>
      </c>
      <c r="N17" s="537"/>
      <c r="O17" s="204">
        <v>14</v>
      </c>
      <c r="P17" s="171" t="s">
        <v>631</v>
      </c>
      <c r="Q17" s="326" t="s">
        <v>154</v>
      </c>
      <c r="R17" s="177">
        <v>8</v>
      </c>
      <c r="S17" s="175">
        <v>3.25</v>
      </c>
      <c r="T17" s="170">
        <v>5</v>
      </c>
      <c r="U17" s="170">
        <v>4.25</v>
      </c>
      <c r="V17" s="170">
        <v>4.333333333333333</v>
      </c>
      <c r="W17" s="549"/>
      <c r="Z17" s="11"/>
      <c r="AA17" s="261"/>
      <c r="AB17" s="261"/>
      <c r="AC17" s="271"/>
      <c r="AD17" s="263"/>
      <c r="AE17" s="263"/>
      <c r="AF17" s="263"/>
      <c r="AG17" s="263"/>
    </row>
    <row r="18" spans="1:33" ht="16" x14ac:dyDescent="0.35">
      <c r="A18" s="102">
        <f>_xlfn.XLOOKUP(B18, 'Open Source Tools'!$E$3:$E$208, 'Open Source Tools'!$A$3:$A$208, "Not found")</f>
        <v>61</v>
      </c>
      <c r="B18" s="9" t="s">
        <v>1266</v>
      </c>
      <c r="C18" t="str">
        <f>INDEX('Open Source Tools'!C:C, MATCH(B18, 'Open Source Tools'!E:E, 0))</f>
        <v>Artificial Intelligence and Machine Learning Tools</v>
      </c>
      <c r="D18" t="str">
        <f>VLOOKUP(B18,'TRL Metrics Score'!$B$5:$C$208, 2,FALSE)</f>
        <v>Anomaly Detection in Energy Systems</v>
      </c>
      <c r="E18" s="71">
        <f>VLOOKUP($B18,'TRL per Applications'!$B$5:$AC$82,10,FALSE)</f>
        <v>3.75</v>
      </c>
      <c r="F18" s="102">
        <f>VLOOKUP($B18,'TRL per Applications'!$B$5:$AC$82,15,FALSE)</f>
        <v>4.5555555555555554</v>
      </c>
      <c r="G18" s="71">
        <f>VLOOKUP($B18,'TRL per Applications'!$B$5:$AC$82,22,FALSE)</f>
        <v>3.75</v>
      </c>
      <c r="H18" s="203">
        <f>VLOOKUP($B18,'TRL per Applications'!$B$5:$AC$82,27,FALSE)</f>
        <v>3.3333333333333335</v>
      </c>
      <c r="I18" s="388">
        <f>VLOOKUP($B18,'TRL per Applications'!$B$5:$AC$82,28,FALSE)</f>
        <v>3.7027777777777775</v>
      </c>
      <c r="J18" s="299" cm="1">
        <f t="array" ref="J18">+_xlfn.IFS(
  AND(I18&gt;=1, I18&lt;1.5), 1,
  AND(I18&gt;=1.5, I18&lt;2), 2,
  AND(I18&gt;=2, I18&lt;2.3), 3,
  AND(I18&gt;=2.3, I18&lt;2.6), 4,
  AND(I18&gt;=2.6, I18&lt;3), 5,
  AND(I18&gt;=3, I18&lt;3.5), 6,
  AND(I18&gt;=3.5, I18&lt;4), 7,
  AND(I18&gt;=4, I18&lt;=4.499), 8,
  AND(I18&gt;=4.5, I18&lt;=5), 9
)</f>
        <v>7</v>
      </c>
      <c r="N18" s="537"/>
      <c r="O18" s="204">
        <v>15</v>
      </c>
      <c r="P18" s="171" t="s">
        <v>670</v>
      </c>
      <c r="Q18" s="326" t="s">
        <v>160</v>
      </c>
      <c r="R18" s="177">
        <v>8</v>
      </c>
      <c r="S18" s="175">
        <v>3.3333333333333335</v>
      </c>
      <c r="T18" s="170">
        <v>5</v>
      </c>
      <c r="U18" s="170">
        <v>3.25</v>
      </c>
      <c r="V18" s="170">
        <v>4.333333333333333</v>
      </c>
      <c r="W18" s="549"/>
      <c r="Z18" s="11"/>
      <c r="AA18" s="261"/>
      <c r="AB18" s="261"/>
      <c r="AC18" s="271"/>
      <c r="AD18" s="263"/>
      <c r="AE18" s="263"/>
      <c r="AF18" s="263"/>
      <c r="AG18" s="263"/>
    </row>
    <row r="19" spans="1:33" ht="16" x14ac:dyDescent="0.35">
      <c r="A19" s="102">
        <f>_xlfn.XLOOKUP(B19, 'Open Source Tools'!$E$3:$E$208, 'Open Source Tools'!$A$3:$A$208, "Not found")</f>
        <v>62</v>
      </c>
      <c r="B19" s="9" t="s">
        <v>1276</v>
      </c>
      <c r="C19" t="str">
        <f>INDEX('Open Source Tools'!C:C, MATCH(B19, 'Open Source Tools'!E:E, 0))</f>
        <v>Artificial Intelligence and Machine Learning Tools</v>
      </c>
      <c r="D19" t="str">
        <f>VLOOKUP(B19,'TRL Metrics Score'!$B$5:$C$208, 2,FALSE)</f>
        <v>AI for Predictive Maintenance</v>
      </c>
      <c r="E19" s="71">
        <f>VLOOKUP($B19,'TRL per Applications'!$B$5:$AC$82,10,FALSE)</f>
        <v>2.0833333333333335</v>
      </c>
      <c r="F19" s="102">
        <f>VLOOKUP($B19,'TRL per Applications'!$B$5:$AC$82,15,FALSE)</f>
        <v>4.5555555555555554</v>
      </c>
      <c r="G19" s="71">
        <f>VLOOKUP($B19,'TRL per Applications'!$B$5:$AC$82,22,FALSE)</f>
        <v>1.9166666666666667</v>
      </c>
      <c r="H19" s="203">
        <f>VLOOKUP($B19,'TRL per Applications'!$B$5:$AC$82,27,FALSE)</f>
        <v>4.416666666666667</v>
      </c>
      <c r="I19" s="388">
        <f>VLOOKUP($B19,'TRL per Applications'!$B$5:$AC$82,28,FALSE)</f>
        <v>3.7194444444444446</v>
      </c>
      <c r="J19" s="299" cm="1">
        <f t="array" ref="J19">+_xlfn.IFS(
  AND(I19&gt;=1, I19&lt;1.5), 1,
  AND(I19&gt;=1.5, I19&lt;2), 2,
  AND(I19&gt;=2, I19&lt;2.3), 3,
  AND(I19&gt;=2.3, I19&lt;2.6), 4,
  AND(I19&gt;=2.6, I19&lt;3), 5,
  AND(I19&gt;=3, I19&lt;3.5), 6,
  AND(I19&gt;=3.5, I19&lt;4), 7,
  AND(I19&gt;=4, I19&lt;=4.499), 8,
  AND(I19&gt;=4.5, I19&lt;=5), 9
)</f>
        <v>7</v>
      </c>
      <c r="N19" s="537"/>
      <c r="O19" s="204">
        <v>16</v>
      </c>
      <c r="P19" s="171" t="s">
        <v>689</v>
      </c>
      <c r="Q19" s="326" t="s">
        <v>596</v>
      </c>
      <c r="R19" s="177">
        <v>8</v>
      </c>
      <c r="S19" s="175">
        <v>3.75</v>
      </c>
      <c r="T19" s="170">
        <v>4.333333333333333</v>
      </c>
      <c r="U19" s="170">
        <v>3.4166666666666665</v>
      </c>
      <c r="V19" s="170">
        <v>4.333333333333333</v>
      </c>
      <c r="W19" s="549"/>
      <c r="Z19" s="11"/>
      <c r="AA19" s="261"/>
      <c r="AB19" s="261"/>
      <c r="AC19" s="271"/>
      <c r="AD19" s="263"/>
      <c r="AE19" s="263"/>
      <c r="AF19" s="263"/>
      <c r="AG19" s="263"/>
    </row>
    <row r="20" spans="1:33" ht="16" x14ac:dyDescent="0.35">
      <c r="A20" s="102">
        <f>_xlfn.XLOOKUP(B20, 'Open Source Tools'!$E$3:$E$208, 'Open Source Tools'!$A$3:$A$208, "Not found")</f>
        <v>73</v>
      </c>
      <c r="B20" s="9" t="s">
        <v>1411</v>
      </c>
      <c r="C20" t="str">
        <f>INDEX('Open Source Tools'!C:C, MATCH(B20, 'Open Source Tools'!E:E, 0))</f>
        <v>Data Analytics and Visualization Tools</v>
      </c>
      <c r="D20" t="str">
        <f>VLOOKUP(B20,'TRL Metrics Score'!$B$5:$C$208, 2,FALSE)</f>
        <v>Energy Dashboards</v>
      </c>
      <c r="E20" s="71">
        <f>VLOOKUP($B20,'TRL per Applications'!$B$5:$AC$82,10,FALSE)</f>
        <v>4.166666666666667</v>
      </c>
      <c r="F20" s="102">
        <f>VLOOKUP($B20,'TRL per Applications'!$B$5:$AC$82,15,FALSE)</f>
        <v>4.333333333333333</v>
      </c>
      <c r="G20" s="71">
        <f>VLOOKUP($B20,'TRL per Applications'!$B$5:$AC$82,22,FALSE)</f>
        <v>4.75</v>
      </c>
      <c r="H20" s="203">
        <f>VLOOKUP($B20,'TRL per Applications'!$B$5:$AC$82,27,FALSE)</f>
        <v>4.916666666666667</v>
      </c>
      <c r="I20" s="388">
        <f>VLOOKUP($B20,'TRL per Applications'!$B$5:$AC$82,28,FALSE)</f>
        <v>4.6624999999999996</v>
      </c>
      <c r="J20" s="299" cm="1">
        <f t="array" ref="J20">+_xlfn.IFS(
  AND(I20&gt;=1, I20&lt;1.5), 1,
  AND(I20&gt;=1.5, I20&lt;2), 2,
  AND(I20&gt;=2, I20&lt;2.3), 3,
  AND(I20&gt;=2.3, I20&lt;2.6), 4,
  AND(I20&gt;=2.6, I20&lt;3), 5,
  AND(I20&gt;=3, I20&lt;3.5), 6,
  AND(I20&gt;=3.5, I20&lt;4), 7,
  AND(I20&gt;=4, I20&lt;=4.499), 8,
  AND(I20&gt;=4.5, I20&lt;=5), 9
)</f>
        <v>9</v>
      </c>
      <c r="N20" s="537"/>
      <c r="O20" s="204">
        <v>17</v>
      </c>
      <c r="P20" s="171" t="s">
        <v>958</v>
      </c>
      <c r="Q20" s="326" t="s">
        <v>188</v>
      </c>
      <c r="R20" s="177">
        <v>9</v>
      </c>
      <c r="S20" s="175">
        <v>4.75</v>
      </c>
      <c r="T20" s="170">
        <v>4.5555555555555554</v>
      </c>
      <c r="U20" s="170">
        <v>4.666666666666667</v>
      </c>
      <c r="V20" s="170">
        <v>4.916666666666667</v>
      </c>
      <c r="W20" s="549"/>
      <c r="Z20" s="11"/>
      <c r="AA20" s="261"/>
      <c r="AB20" s="261"/>
      <c r="AC20" s="271"/>
      <c r="AD20" s="263"/>
      <c r="AE20" s="263"/>
      <c r="AF20" s="263"/>
      <c r="AG20" s="263"/>
    </row>
    <row r="21" spans="1:33" ht="16" x14ac:dyDescent="0.35">
      <c r="A21" s="102">
        <f>_xlfn.XLOOKUP(B21, 'Open Source Tools'!$E$3:$E$208, 'Open Source Tools'!$A$3:$A$208, "Not found")</f>
        <v>74</v>
      </c>
      <c r="B21" s="9" t="s">
        <v>1423</v>
      </c>
      <c r="C21" t="str">
        <f>INDEX('Open Source Tools'!C:C, MATCH(B21, 'Open Source Tools'!E:E, 0))</f>
        <v>Data Analytics and Visualization Tools</v>
      </c>
      <c r="D21" t="str">
        <f>VLOOKUP(B21,'TRL Metrics Score'!$B$5:$C$208, 2,FALSE)</f>
        <v>Data Visualization Tools</v>
      </c>
      <c r="E21" s="71">
        <f>VLOOKUP($B21,'TRL per Applications'!$B$5:$AC$82,10,FALSE)</f>
        <v>4.75</v>
      </c>
      <c r="F21" s="102">
        <f>VLOOKUP($B21,'TRL per Applications'!$B$5:$AC$82,15,FALSE)</f>
        <v>4.333333333333333</v>
      </c>
      <c r="G21" s="71">
        <f>VLOOKUP($B21,'TRL per Applications'!$B$5:$AC$82,22,FALSE)</f>
        <v>4.833333333333333</v>
      </c>
      <c r="H21" s="203">
        <f>VLOOKUP($B21,'TRL per Applications'!$B$5:$AC$82,27,FALSE)</f>
        <v>4.666666666666667</v>
      </c>
      <c r="I21" s="388">
        <f>VLOOKUP($B21,'TRL per Applications'!$B$5:$AC$82,28,FALSE)</f>
        <v>4.6375000000000002</v>
      </c>
      <c r="J21" s="299" cm="1">
        <f t="array" ref="J21">+_xlfn.IFS(
  AND(I21&gt;=1, I21&lt;1.5), 1,
  AND(I21&gt;=1.5, I21&lt;2), 2,
  AND(I21&gt;=2, I21&lt;2.3), 3,
  AND(I21&gt;=2.3, I21&lt;2.6), 4,
  AND(I21&gt;=2.6, I21&lt;3), 5,
  AND(I21&gt;=3, I21&lt;3.5), 6,
  AND(I21&gt;=3.5, I21&lt;4), 7,
  AND(I21&gt;=4, I21&lt;=4.499), 8,
  AND(I21&gt;=4.5, I21&lt;=5), 9
)</f>
        <v>9</v>
      </c>
      <c r="N21" s="537"/>
      <c r="O21" s="204">
        <v>18</v>
      </c>
      <c r="P21" s="171" t="s">
        <v>1101</v>
      </c>
      <c r="Q21" s="326" t="s">
        <v>269</v>
      </c>
      <c r="R21" s="177">
        <v>8</v>
      </c>
      <c r="S21" s="175">
        <v>3</v>
      </c>
      <c r="T21" s="170">
        <v>4.5555555555555554</v>
      </c>
      <c r="U21" s="170">
        <v>4</v>
      </c>
      <c r="V21" s="170">
        <v>4.416666666666667</v>
      </c>
      <c r="W21" s="549"/>
      <c r="Z21" s="11"/>
      <c r="AA21" s="261"/>
      <c r="AB21" s="261"/>
      <c r="AC21" s="271"/>
      <c r="AD21" s="263"/>
      <c r="AE21" s="263"/>
      <c r="AF21" s="263"/>
      <c r="AG21" s="263"/>
    </row>
    <row r="22" spans="1:33" ht="16" x14ac:dyDescent="0.35">
      <c r="A22" s="102">
        <f>_xlfn.XLOOKUP(B22, 'Open Source Tools'!$E$3:$E$208, 'Open Source Tools'!$A$3:$A$208, "Not found")</f>
        <v>88</v>
      </c>
      <c r="B22" s="9" t="s">
        <v>1595</v>
      </c>
      <c r="C22" t="str">
        <f>INDEX('Open Source Tools'!C:C, MATCH(B22, 'Open Source Tools'!E:E, 0))</f>
        <v>Energy Sharing Platforms</v>
      </c>
      <c r="D22" t="str">
        <f>VLOOKUP(B22,'TRL Metrics Score'!$B$5:$C$208, 2,FALSE)</f>
        <v>Energy Sharing Apps</v>
      </c>
      <c r="E22" s="71">
        <f>VLOOKUP($B22,'TRL per Applications'!$B$5:$AC$82,10,FALSE)</f>
        <v>1.1666666666666667</v>
      </c>
      <c r="F22" s="102">
        <f>VLOOKUP($B22,'TRL per Applications'!$B$5:$AC$82,15,FALSE)</f>
        <v>2.7777777777777777</v>
      </c>
      <c r="G22" s="71">
        <f>VLOOKUP($B22,'TRL per Applications'!$B$5:$AC$82,22,FALSE)</f>
        <v>1.8333333333333333</v>
      </c>
      <c r="H22" s="203">
        <f>VLOOKUP($B22,'TRL per Applications'!$B$5:$AC$82,27,FALSE)</f>
        <v>2.75</v>
      </c>
      <c r="I22" s="388">
        <f>VLOOKUP($B22,'TRL per Applications'!$B$5:$AC$82,28,FALSE)</f>
        <v>2.3805555555555555</v>
      </c>
      <c r="J22" s="299" cm="1">
        <f t="array" ref="J22">+_xlfn.IFS(
  AND(I22&gt;=1, I22&lt;1.5), 1,
  AND(I22&gt;=1.5, I22&lt;2), 2,
  AND(I22&gt;=2, I22&lt;2.3), 3,
  AND(I22&gt;=2.3, I22&lt;2.6), 4,
  AND(I22&gt;=2.6, I22&lt;3), 5,
  AND(I22&gt;=3, I22&lt;3.5), 6,
  AND(I22&gt;=3.5, I22&lt;4), 7,
  AND(I22&gt;=4, I22&lt;=4.499), 8,
  AND(I22&gt;=4.5, I22&lt;=5), 9
)</f>
        <v>4</v>
      </c>
      <c r="N22" s="537"/>
      <c r="O22" s="204">
        <v>19</v>
      </c>
      <c r="P22" s="171" t="s">
        <v>1177</v>
      </c>
      <c r="Q22" s="326" t="s">
        <v>272</v>
      </c>
      <c r="R22" s="177">
        <v>9</v>
      </c>
      <c r="S22" s="175">
        <v>4.75</v>
      </c>
      <c r="T22" s="170">
        <v>4.1111111111111107</v>
      </c>
      <c r="U22" s="170">
        <v>4.416666666666667</v>
      </c>
      <c r="V22" s="170">
        <v>5</v>
      </c>
      <c r="W22" s="549"/>
      <c r="Z22" s="11"/>
      <c r="AA22" s="261"/>
      <c r="AB22" s="261"/>
      <c r="AC22" s="271"/>
      <c r="AD22" s="263"/>
      <c r="AE22" s="263"/>
      <c r="AF22" s="263"/>
      <c r="AG22" s="263"/>
    </row>
    <row r="23" spans="1:33" ht="16" x14ac:dyDescent="0.35">
      <c r="A23" s="102">
        <f>_xlfn.XLOOKUP(B23, 'Open Source Tools'!$E$3:$E$208, 'Open Source Tools'!$A$3:$A$208, "Not found")</f>
        <v>91</v>
      </c>
      <c r="B23" s="9" t="s">
        <v>1626</v>
      </c>
      <c r="C23" t="str">
        <f>INDEX('Open Source Tools'!C:C, MATCH(B23, 'Open Source Tools'!E:E, 0))</f>
        <v>Energy Sharing Platforms</v>
      </c>
      <c r="D23" t="str">
        <f>VLOOKUP(B23,'TRL Metrics Score'!$B$5:$C$208, 2,FALSE)</f>
        <v>Energy Pooling Platforms</v>
      </c>
      <c r="E23" s="71">
        <f>VLOOKUP($B23,'TRL per Applications'!$B$5:$AC$82,10,FALSE)</f>
        <v>1.75</v>
      </c>
      <c r="F23" s="102">
        <f>VLOOKUP($B23,'TRL per Applications'!$B$5:$AC$82,15,FALSE)</f>
        <v>4.7777777777777777</v>
      </c>
      <c r="G23" s="71">
        <f>VLOOKUP($B23,'TRL per Applications'!$B$5:$AC$82,22,FALSE)</f>
        <v>1.8333333333333333</v>
      </c>
      <c r="H23" s="203">
        <f>VLOOKUP($B23,'TRL per Applications'!$B$5:$AC$82,27,FALSE)</f>
        <v>1.75</v>
      </c>
      <c r="I23" s="388">
        <f>VLOOKUP($B23,'TRL per Applications'!$B$5:$AC$82,28,FALSE)</f>
        <v>2.3680555555555554</v>
      </c>
      <c r="J23" s="299" cm="1">
        <f t="array" ref="J23">+_xlfn.IFS(
  AND(I23&gt;=1, I23&lt;1.5), 1,
  AND(I23&gt;=1.5, I23&lt;2), 2,
  AND(I23&gt;=2, I23&lt;2.3), 3,
  AND(I23&gt;=2.3, I23&lt;2.6), 4,
  AND(I23&gt;=2.6, I23&lt;3), 5,
  AND(I23&gt;=3, I23&lt;3.5), 6,
  AND(I23&gt;=3.5, I23&lt;4), 7,
  AND(I23&gt;=4, I23&lt;=4.499), 8,
  AND(I23&gt;=4.5, I23&lt;=5), 9
)</f>
        <v>4</v>
      </c>
      <c r="N23" s="537"/>
      <c r="O23" s="204">
        <v>20</v>
      </c>
      <c r="P23" s="171" t="s">
        <v>1221</v>
      </c>
      <c r="Q23" s="326" t="s">
        <v>275</v>
      </c>
      <c r="R23" s="177">
        <v>6</v>
      </c>
      <c r="S23" s="175">
        <v>1.6666666666666667</v>
      </c>
      <c r="T23" s="170">
        <v>4.7777777777777777</v>
      </c>
      <c r="U23" s="170">
        <v>3.25</v>
      </c>
      <c r="V23" s="170">
        <v>3</v>
      </c>
      <c r="W23" s="549"/>
      <c r="Z23" s="11"/>
      <c r="AA23" s="261"/>
      <c r="AB23" s="261"/>
      <c r="AC23" s="271"/>
      <c r="AD23" s="263"/>
      <c r="AE23" s="263"/>
      <c r="AF23" s="263"/>
      <c r="AG23" s="263"/>
    </row>
    <row r="24" spans="1:33" ht="16" x14ac:dyDescent="0.35">
      <c r="A24" s="102">
        <f>_xlfn.XLOOKUP(B24, 'Open Source Tools'!$E$3:$E$208, 'Open Source Tools'!$A$3:$A$208, "Not found")</f>
        <v>103</v>
      </c>
      <c r="B24" s="9" t="s">
        <v>1784</v>
      </c>
      <c r="C24" t="str">
        <f>INDEX('Open Source Tools'!C:C, MATCH(B24, 'Open Source Tools'!E:E, 0))</f>
        <v>Energy Distribution Tools</v>
      </c>
      <c r="D24" t="str">
        <f>VLOOKUP(B24,'TRL Metrics Score'!$B$5:$C$208, 2,FALSE)</f>
        <v>Peer-to-Peer (P2P) Energy Trading Platforms</v>
      </c>
      <c r="E24" s="71">
        <f>VLOOKUP($B24,'TRL per Applications'!$B$5:$AC$82,10,FALSE)</f>
        <v>1.75</v>
      </c>
      <c r="F24" s="102">
        <f>VLOOKUP($B24,'TRL per Applications'!$B$5:$AC$82,15,FALSE)</f>
        <v>3.8888888888888888</v>
      </c>
      <c r="G24" s="71">
        <f>VLOOKUP($B24,'TRL per Applications'!$B$5:$AC$82,22,FALSE)</f>
        <v>2.3333333333333335</v>
      </c>
      <c r="H24" s="203">
        <f>VLOOKUP($B24,'TRL per Applications'!$B$5:$AC$82,27,FALSE)</f>
        <v>4.333333333333333</v>
      </c>
      <c r="I24" s="388">
        <f>VLOOKUP($B24,'TRL per Applications'!$B$5:$AC$82,28,FALSE)</f>
        <v>3.5569444444444445</v>
      </c>
      <c r="J24" s="299" cm="1">
        <f t="array" ref="J24">+_xlfn.IFS(
  AND(I24&gt;=1, I24&lt;1.5), 1,
  AND(I24&gt;=1.5, I24&lt;2), 2,
  AND(I24&gt;=2, I24&lt;2.3), 3,
  AND(I24&gt;=2.3, I24&lt;2.6), 4,
  AND(I24&gt;=2.6, I24&lt;3), 5,
  AND(I24&gt;=3, I24&lt;3.5), 6,
  AND(I24&gt;=3.5, I24&lt;4), 7,
  AND(I24&gt;=4, I24&lt;=4.499), 8,
  AND(I24&gt;=4.5, I24&lt;=5), 9
)</f>
        <v>7</v>
      </c>
      <c r="N24" s="537"/>
      <c r="O24" s="204">
        <v>21</v>
      </c>
      <c r="P24" s="171" t="s">
        <v>1266</v>
      </c>
      <c r="Q24" s="326" t="s">
        <v>278</v>
      </c>
      <c r="R24" s="177">
        <v>7</v>
      </c>
      <c r="S24" s="175">
        <v>3.75</v>
      </c>
      <c r="T24" s="170">
        <v>4.5555555555555554</v>
      </c>
      <c r="U24" s="170">
        <v>3.75</v>
      </c>
      <c r="V24" s="170">
        <v>3.3333333333333335</v>
      </c>
      <c r="W24" s="549"/>
      <c r="Z24" s="11"/>
      <c r="AA24" s="261"/>
      <c r="AB24" s="261"/>
      <c r="AC24" s="271"/>
      <c r="AD24" s="263"/>
      <c r="AE24" s="263"/>
      <c r="AF24" s="263"/>
      <c r="AG24" s="263"/>
    </row>
    <row r="25" spans="1:33" ht="16" x14ac:dyDescent="0.35">
      <c r="A25" s="102">
        <f>_xlfn.XLOOKUP(B25, 'Open Source Tools'!$E$3:$E$208, 'Open Source Tools'!$A$3:$A$208, "Not found")</f>
        <v>5</v>
      </c>
      <c r="B25" s="9" t="s">
        <v>570</v>
      </c>
      <c r="C25" t="str">
        <f>INDEX('Open Source Tools'!C:C, MATCH(B25, 'Open Source Tools'!E:E, 0))</f>
        <v>Energy Distribution Tools</v>
      </c>
      <c r="D25" t="str">
        <f>VLOOKUP(B25,'TRL Metrics Score'!$B$5:$C$208, 2,FALSE)</f>
        <v>Virtual Power Plants (VPPs)</v>
      </c>
      <c r="E25" s="71">
        <f>VLOOKUP($B25,'TRL per Applications'!$B$5:$AC$82,10,FALSE)</f>
        <v>1.3333333333333333</v>
      </c>
      <c r="F25" s="102">
        <f>VLOOKUP($B25,'TRL per Applications'!$B$5:$AC$82,15,FALSE)</f>
        <v>3.8888888888888888</v>
      </c>
      <c r="G25" s="71">
        <f>VLOOKUP($B25,'TRL per Applications'!$B$5:$AC$82,22,FALSE)</f>
        <v>3.1666666666666665</v>
      </c>
      <c r="H25" s="203">
        <f>VLOOKUP($B25,'TRL per Applications'!$B$5:$AC$82,27,FALSE)</f>
        <v>4.333333333333333</v>
      </c>
      <c r="I25" s="388">
        <f>VLOOKUP($B25,'TRL per Applications'!$B$5:$AC$82,28,FALSE)</f>
        <v>3.6194444444444445</v>
      </c>
      <c r="J25" s="299" cm="1">
        <f t="array" ref="J25">+_xlfn.IFS(
  AND(I25&gt;=1, I25&lt;1.5), 1,
  AND(I25&gt;=1.5, I25&lt;2), 2,
  AND(I25&gt;=2, I25&lt;2.3), 3,
  AND(I25&gt;=2.3, I25&lt;2.6), 4,
  AND(I25&gt;=2.6, I25&lt;3), 5,
  AND(I25&gt;=3, I25&lt;3.5), 6,
  AND(I25&gt;=3.5, I25&lt;4), 7,
  AND(I25&gt;=4, I25&lt;=4.499), 8,
  AND(I25&gt;=4.5, I25&lt;=5), 9
)</f>
        <v>7</v>
      </c>
      <c r="N25" s="537"/>
      <c r="O25" s="204">
        <v>22</v>
      </c>
      <c r="P25" s="171" t="s">
        <v>1276</v>
      </c>
      <c r="Q25" s="326" t="s">
        <v>281</v>
      </c>
      <c r="R25" s="177">
        <v>7</v>
      </c>
      <c r="S25" s="175">
        <v>2.0833333333333335</v>
      </c>
      <c r="T25" s="170">
        <v>4.5555555555555554</v>
      </c>
      <c r="U25" s="170">
        <v>1.9166666666666667</v>
      </c>
      <c r="V25" s="170">
        <v>4.416666666666667</v>
      </c>
      <c r="W25" s="549"/>
      <c r="Z25" s="11"/>
      <c r="AA25" s="261"/>
      <c r="AB25" s="261"/>
      <c r="AC25" s="271"/>
      <c r="AD25" s="263"/>
      <c r="AE25" s="263"/>
      <c r="AF25" s="263"/>
      <c r="AG25" s="263"/>
    </row>
    <row r="26" spans="1:33" ht="16" x14ac:dyDescent="0.35">
      <c r="A26" s="102">
        <f>_xlfn.XLOOKUP(B26, 'Open Source Tools'!$E$3:$E$208, 'Open Source Tools'!$A$3:$A$208, "Not found")</f>
        <v>10</v>
      </c>
      <c r="B26" s="9" t="s">
        <v>631</v>
      </c>
      <c r="C26" t="str">
        <f>INDEX('Open Source Tools'!C:C, MATCH(B26, 'Open Source Tools'!E:E, 0))</f>
        <v>Energy Distribution Tools</v>
      </c>
      <c r="D26" t="str">
        <f>VLOOKUP(B26,'TRL Metrics Score'!$B$5:$C$208, 2,FALSE)</f>
        <v>Energy Trading Tool</v>
      </c>
      <c r="E26" s="71">
        <f>VLOOKUP($B26,'TRL per Applications'!$B$5:$AC$82,10,FALSE)</f>
        <v>3.25</v>
      </c>
      <c r="F26" s="102">
        <f>VLOOKUP($B26,'TRL per Applications'!$B$5:$AC$82,15,FALSE)</f>
        <v>5</v>
      </c>
      <c r="G26" s="71">
        <f>VLOOKUP($B26,'TRL per Applications'!$B$5:$AC$82,22,FALSE)</f>
        <v>4.25</v>
      </c>
      <c r="H26" s="203">
        <f>VLOOKUP($B26,'TRL per Applications'!$B$5:$AC$82,27,FALSE)</f>
        <v>4.333333333333333</v>
      </c>
      <c r="I26" s="388">
        <f>VLOOKUP($B26,'TRL per Applications'!$B$5:$AC$82,28,FALSE)</f>
        <v>4.2916666666666661</v>
      </c>
      <c r="J26" s="299" cm="1">
        <f t="array" ref="J26">+_xlfn.IFS(
  AND(I26&gt;=1, I26&lt;1.5), 1,
  AND(I26&gt;=1.5, I26&lt;2), 2,
  AND(I26&gt;=2, I26&lt;2.3), 3,
  AND(I26&gt;=2.3, I26&lt;2.6), 4,
  AND(I26&gt;=2.6, I26&lt;3), 5,
  AND(I26&gt;=3, I26&lt;3.5), 6,
  AND(I26&gt;=3.5, I26&lt;4), 7,
  AND(I26&gt;=4, I26&lt;=4.499), 8,
  AND(I26&gt;=4.5, I26&lt;=5), 9
)</f>
        <v>8</v>
      </c>
      <c r="N26" s="537"/>
      <c r="O26" s="204">
        <v>23</v>
      </c>
      <c r="P26" s="171" t="s">
        <v>1411</v>
      </c>
      <c r="Q26" s="326" t="s">
        <v>326</v>
      </c>
      <c r="R26" s="177">
        <v>9</v>
      </c>
      <c r="S26" s="175">
        <v>4.166666666666667</v>
      </c>
      <c r="T26" s="170">
        <v>4.333333333333333</v>
      </c>
      <c r="U26" s="170">
        <v>4.75</v>
      </c>
      <c r="V26" s="170">
        <v>4.916666666666667</v>
      </c>
      <c r="W26" s="549"/>
      <c r="Z26" s="11"/>
      <c r="AA26" s="261"/>
      <c r="AB26" s="261"/>
      <c r="AC26" s="271"/>
      <c r="AD26" s="263"/>
      <c r="AE26" s="263"/>
      <c r="AF26" s="263"/>
      <c r="AG26" s="263"/>
    </row>
    <row r="27" spans="1:33" ht="16" x14ac:dyDescent="0.35">
      <c r="A27" s="102">
        <f>_xlfn.XLOOKUP(B27, 'Open Source Tools'!$E$3:$E$208, 'Open Source Tools'!$A$3:$A$208, "Not found")</f>
        <v>13</v>
      </c>
      <c r="B27" s="9" t="s">
        <v>670</v>
      </c>
      <c r="C27" t="str">
        <f>INDEX('Open Source Tools'!C:C, MATCH(B27, 'Open Source Tools'!E:E, 0))</f>
        <v>Energy Distribution Tools</v>
      </c>
      <c r="D27" t="str">
        <f>VLOOKUP(B27,'TRL Metrics Score'!$B$5:$C$208, 2,FALSE)</f>
        <v>Grid Balancing Tools</v>
      </c>
      <c r="E27" s="71">
        <f>VLOOKUP($B27,'TRL per Applications'!$B$5:$AC$82,10,FALSE)</f>
        <v>3.3333333333333335</v>
      </c>
      <c r="F27" s="102">
        <f>VLOOKUP($B27,'TRL per Applications'!$B$5:$AC$82,15,FALSE)</f>
        <v>5</v>
      </c>
      <c r="G27" s="71">
        <f>VLOOKUP($B27,'TRL per Applications'!$B$5:$AC$82,22,FALSE)</f>
        <v>3.25</v>
      </c>
      <c r="H27" s="203">
        <f>VLOOKUP($B27,'TRL per Applications'!$B$5:$AC$82,27,FALSE)</f>
        <v>4.333333333333333</v>
      </c>
      <c r="I27" s="388">
        <f>VLOOKUP($B27,'TRL per Applications'!$B$5:$AC$82,28,FALSE)</f>
        <v>4.1541666666666668</v>
      </c>
      <c r="J27" s="299" cm="1">
        <f t="array" ref="J27">+_xlfn.IFS(
  AND(I27&gt;=1, I27&lt;1.5), 1,
  AND(I27&gt;=1.5, I27&lt;2), 2,
  AND(I27&gt;=2, I27&lt;2.3), 3,
  AND(I27&gt;=2.3, I27&lt;2.6), 4,
  AND(I27&gt;=2.6, I27&lt;3), 5,
  AND(I27&gt;=3, I27&lt;3.5), 6,
  AND(I27&gt;=3.5, I27&lt;4), 7,
  AND(I27&gt;=4, I27&lt;=4.499), 8,
  AND(I27&gt;=4.5, I27&lt;=5), 9
)</f>
        <v>8</v>
      </c>
      <c r="N27" s="537"/>
      <c r="O27" s="204">
        <v>24</v>
      </c>
      <c r="P27" s="171" t="s">
        <v>1423</v>
      </c>
      <c r="Q27" s="326" t="s">
        <v>3247</v>
      </c>
      <c r="R27" s="177">
        <v>9</v>
      </c>
      <c r="S27" s="175">
        <v>4.75</v>
      </c>
      <c r="T27" s="170">
        <v>4.333333333333333</v>
      </c>
      <c r="U27" s="170">
        <v>4.833333333333333</v>
      </c>
      <c r="V27" s="170">
        <v>4.666666666666667</v>
      </c>
      <c r="W27" s="549"/>
      <c r="Z27" s="11"/>
      <c r="AA27" s="261"/>
      <c r="AB27" s="261"/>
      <c r="AC27" s="271"/>
      <c r="AD27" s="263"/>
      <c r="AE27" s="263"/>
      <c r="AF27" s="263"/>
      <c r="AG27" s="263"/>
    </row>
    <row r="28" spans="1:33" ht="16" x14ac:dyDescent="0.35">
      <c r="A28" s="102">
        <f>_xlfn.XLOOKUP(B28, 'Open Source Tools'!$E$3:$E$208, 'Open Source Tools'!$A$3:$A$208, "Not found")</f>
        <v>16</v>
      </c>
      <c r="B28" s="9" t="s">
        <v>689</v>
      </c>
      <c r="C28" t="str">
        <f>INDEX('Open Source Tools'!C:C, MATCH(B28, 'Open Source Tools'!E:E, 0))</f>
        <v>Energy Distribution Tools</v>
      </c>
      <c r="D28" t="str">
        <f>VLOOKUP(B28,'TRL Metrics Score'!$B$5:$C$208, 2,FALSE)</f>
        <v>Dynamic Pricing Platform</v>
      </c>
      <c r="E28" s="71">
        <f>VLOOKUP($B28,'TRL per Applications'!$B$5:$AC$82,10,FALSE)</f>
        <v>3.75</v>
      </c>
      <c r="F28" s="102">
        <f>VLOOKUP($B28,'TRL per Applications'!$B$5:$AC$82,15,FALSE)</f>
        <v>4.333333333333333</v>
      </c>
      <c r="G28" s="71">
        <f>VLOOKUP($B28,'TRL per Applications'!$B$5:$AC$82,22,FALSE)</f>
        <v>3.4166666666666665</v>
      </c>
      <c r="H28" s="203">
        <f>VLOOKUP($B28,'TRL per Applications'!$B$5:$AC$82,27,FALSE)</f>
        <v>4.333333333333333</v>
      </c>
      <c r="I28" s="388">
        <f>VLOOKUP($B28,'TRL per Applications'!$B$5:$AC$82,28,FALSE)</f>
        <v>4.1083333333333334</v>
      </c>
      <c r="J28" s="299" cm="1">
        <f t="array" ref="J28">+_xlfn.IFS(
  AND(I28&gt;=1, I28&lt;1.5), 1,
  AND(I28&gt;=1.5, I28&lt;2), 2,
  AND(I28&gt;=2, I28&lt;2.3), 3,
  AND(I28&gt;=2.3, I28&lt;2.6), 4,
  AND(I28&gt;=2.6, I28&lt;3), 5,
  AND(I28&gt;=3, I28&lt;3.5), 6,
  AND(I28&gt;=3.5, I28&lt;4), 7,
  AND(I28&gt;=4, I28&lt;=4.499), 8,
  AND(I28&gt;=4.5, I28&lt;=5), 9
)</f>
        <v>8</v>
      </c>
      <c r="N28" s="537"/>
      <c r="O28" s="204">
        <v>25</v>
      </c>
      <c r="P28" s="171" t="s">
        <v>1595</v>
      </c>
      <c r="Q28" s="326" t="s">
        <v>393</v>
      </c>
      <c r="R28" s="177">
        <v>4</v>
      </c>
      <c r="S28" s="175">
        <v>1.1666666666666667</v>
      </c>
      <c r="T28" s="170">
        <v>2.7777777777777777</v>
      </c>
      <c r="U28" s="170">
        <v>1.8333333333333333</v>
      </c>
      <c r="V28" s="170">
        <v>2.75</v>
      </c>
      <c r="W28" s="549"/>
      <c r="Z28" s="11"/>
      <c r="AA28" s="261"/>
      <c r="AB28" s="261"/>
      <c r="AC28" s="271"/>
      <c r="AD28" s="263"/>
      <c r="AE28" s="263"/>
      <c r="AF28" s="263"/>
      <c r="AG28" s="263"/>
    </row>
    <row r="29" spans="1:33" ht="16" x14ac:dyDescent="0.4">
      <c r="A29" s="102">
        <f>_xlfn.XLOOKUP(B29, 'Open Source Tools'!$E$3:$E$208, 'Open Source Tools'!$A$3:$A$208, "Not found")</f>
        <v>198</v>
      </c>
      <c r="B29" s="151" t="s">
        <v>3080</v>
      </c>
      <c r="C29" t="str">
        <f>INDEX('Open Source Tools'!C:C, MATCH(B29, 'Open Source Tools'!E:E, 0))</f>
        <v>Energy Access and Equity Tools</v>
      </c>
      <c r="D29" t="str">
        <f>VLOOKUP(B29,'TRL Metrics Score'!$B$5:$C$208, 2,FALSE)</f>
        <v>Community-Based Energy Access Programs</v>
      </c>
      <c r="E29" s="71">
        <f>VLOOKUP($B29,'TRL per Applications'!$B$5:$AC$82,10,FALSE)</f>
        <v>2.9166666666666665</v>
      </c>
      <c r="F29" s="102">
        <f>VLOOKUP($B29,'TRL per Applications'!$B$5:$AC$82,15,FALSE)</f>
        <v>4.7777777777777777</v>
      </c>
      <c r="G29" s="71">
        <f>VLOOKUP($B29,'TRL per Applications'!$B$5:$AC$82,22,FALSE)</f>
        <v>3.8333333333333335</v>
      </c>
      <c r="H29" s="203">
        <f>VLOOKUP($B29,'TRL per Applications'!$B$5:$AC$82,27,FALSE)</f>
        <v>4.416666666666667</v>
      </c>
      <c r="I29" s="388">
        <f>VLOOKUP($B29,'TRL per Applications'!$B$5:$AC$82,28,FALSE)</f>
        <v>4.1763888888888889</v>
      </c>
      <c r="J29" s="299" cm="1">
        <f t="array" ref="J29">+_xlfn.IFS(
  AND(I29&gt;=1, I29&lt;1.5), 1,
  AND(I29&gt;=1.5, I29&lt;2), 2,
  AND(I29&gt;=2, I29&lt;2.3), 3,
  AND(I29&gt;=2.3, I29&lt;2.6), 4,
  AND(I29&gt;=2.6, I29&lt;3), 5,
  AND(I29&gt;=3, I29&lt;3.5), 6,
  AND(I29&gt;=3.5, I29&lt;4), 7,
  AND(I29&gt;=4, I29&lt;=4.499), 8,
  AND(I29&gt;=4.5, I29&lt;=5), 9
)</f>
        <v>8</v>
      </c>
      <c r="N29" s="537"/>
      <c r="O29" s="204">
        <v>26</v>
      </c>
      <c r="P29" s="171" t="s">
        <v>1626</v>
      </c>
      <c r="Q29" s="326" t="s">
        <v>398</v>
      </c>
      <c r="R29" s="177">
        <v>4</v>
      </c>
      <c r="S29" s="175">
        <v>1.75</v>
      </c>
      <c r="T29" s="170">
        <v>4.7777777777777777</v>
      </c>
      <c r="U29" s="170">
        <v>1.8333333333333333</v>
      </c>
      <c r="V29" s="170">
        <v>1.75</v>
      </c>
      <c r="W29" s="549"/>
      <c r="Z29" s="11"/>
      <c r="AA29" s="261"/>
      <c r="AB29" s="261"/>
      <c r="AC29" s="271"/>
      <c r="AD29" s="263"/>
      <c r="AE29" s="263"/>
      <c r="AF29" s="263"/>
      <c r="AG29" s="263"/>
    </row>
    <row r="30" spans="1:33" ht="16" x14ac:dyDescent="0.35">
      <c r="A30" s="102">
        <f>_xlfn.XLOOKUP(B30, 'Open Source Tools'!$E$3:$E$208, 'Open Source Tools'!$A$3:$A$208, "Not found")</f>
        <v>36</v>
      </c>
      <c r="B30" s="9" t="s">
        <v>958</v>
      </c>
      <c r="C30" t="str">
        <f>INDEX('Open Source Tools'!C:C, MATCH(B30, 'Open Source Tools'!E:E, 0))</f>
        <v>Communication and Collaboration Tools</v>
      </c>
      <c r="D30" t="str">
        <f>VLOOKUP(B30,'TRL Metrics Score'!$B$5:$C$208, 2,FALSE)</f>
        <v>Mobile Apps</v>
      </c>
      <c r="E30" s="71">
        <f>VLOOKUP($B30,'TRL per Applications'!$B$5:$AC$82,10,FALSE)</f>
        <v>4.75</v>
      </c>
      <c r="F30" s="102">
        <f>VLOOKUP($B30,'TRL per Applications'!$B$5:$AC$82,15,FALSE)</f>
        <v>4.5555555555555554</v>
      </c>
      <c r="G30" s="71">
        <f>VLOOKUP($B30,'TRL per Applications'!$B$5:$AC$82,22,FALSE)</f>
        <v>4.666666666666667</v>
      </c>
      <c r="H30" s="203">
        <f>VLOOKUP($B30,'TRL per Applications'!$B$5:$AC$82,27,FALSE)</f>
        <v>4.916666666666667</v>
      </c>
      <c r="I30" s="388">
        <f>VLOOKUP($B30,'TRL per Applications'!$B$5:$AC$82,28,FALSE)</f>
        <v>4.781944444444445</v>
      </c>
      <c r="J30" s="299" cm="1">
        <f t="array" ref="J30">+_xlfn.IFS(
  AND(I30&gt;=1, I30&lt;1.5), 1,
  AND(I30&gt;=1.5, I30&lt;2), 2,
  AND(I30&gt;=2, I30&lt;2.3), 3,
  AND(I30&gt;=2.3, I30&lt;2.6), 4,
  AND(I30&gt;=2.6, I30&lt;3), 5,
  AND(I30&gt;=3, I30&lt;3.5), 6,
  AND(I30&gt;=3.5, I30&lt;4), 7,
  AND(I30&gt;=4, I30&lt;=4.499), 8,
  AND(I30&gt;=4.5, I30&lt;=5), 9
)</f>
        <v>9</v>
      </c>
      <c r="N30" s="537"/>
      <c r="O30" s="205">
        <v>27</v>
      </c>
      <c r="P30" s="210" t="s">
        <v>2978</v>
      </c>
      <c r="Q30" s="172" t="s">
        <v>225</v>
      </c>
      <c r="R30" s="178">
        <v>9</v>
      </c>
      <c r="S30" s="176">
        <v>3.4166666666666665</v>
      </c>
      <c r="T30" s="173">
        <v>5</v>
      </c>
      <c r="U30" s="173">
        <v>4.416666666666667</v>
      </c>
      <c r="V30" s="173">
        <v>4.666666666666667</v>
      </c>
      <c r="W30" s="549"/>
      <c r="Z30" s="11"/>
      <c r="AA30" s="13"/>
      <c r="AB30" s="261"/>
      <c r="AC30" s="102"/>
      <c r="AD30" s="264"/>
      <c r="AE30" s="264"/>
      <c r="AF30" s="264"/>
      <c r="AG30" s="264"/>
    </row>
    <row r="31" spans="1:33" ht="16" x14ac:dyDescent="0.35">
      <c r="A31" s="102">
        <f>_xlfn.XLOOKUP(B31, 'Open Source Tools'!$E$3:$E$208, 'Open Source Tools'!$A$3:$A$208, "Not found")</f>
        <v>200</v>
      </c>
      <c r="B31" s="9" t="s">
        <v>1891</v>
      </c>
      <c r="C31" t="s">
        <v>66</v>
      </c>
      <c r="D31" t="str">
        <f>VLOOKUP(B31,'TRL Metrics Score'!$B$5:$C$208, 2,FALSE)</f>
        <v>Smart Charging Algorithms</v>
      </c>
      <c r="E31" s="71">
        <f>VLOOKUP($B31,'TRL per Applications'!$B$5:$AC$82,10,FALSE)</f>
        <v>3.9166666666666665</v>
      </c>
      <c r="F31" s="102">
        <f>VLOOKUP($B31,'TRL per Applications'!$B$5:$AC$82,15,FALSE)</f>
        <v>4.333333333333333</v>
      </c>
      <c r="G31" s="71">
        <f>VLOOKUP($B31,'TRL per Applications'!$B$5:$AC$82,22,FALSE)</f>
        <v>4.583333333333333</v>
      </c>
      <c r="H31" s="203">
        <f>VLOOKUP($B31,'TRL per Applications'!$B$5:$AC$82,27,FALSE)</f>
        <v>4.5</v>
      </c>
      <c r="I31" s="388">
        <f>VLOOKUP($B31,'TRL per Applications'!$B$5:$AC$82,28,FALSE)</f>
        <v>4.3916666666666666</v>
      </c>
      <c r="J31" s="299" cm="1">
        <f t="array" ref="J31">+_xlfn.IFS(
  AND(I31&gt;=1, I31&lt;1.5), 1,
  AND(I31&gt;=1.5, I31&lt;2), 2,
  AND(I31&gt;=2, I31&lt;2.3), 3,
  AND(I31&gt;=2.3, I31&lt;2.6), 4,
  AND(I31&gt;=2.6, I31&lt;3), 5,
  AND(I31&gt;=3, I31&lt;3.5), 6,
  AND(I31&gt;=3.5, I31&lt;4), 7,
  AND(I31&gt;=4, I31&lt;=4.499), 8,
  AND(I31&gt;=4.5, I31&lt;=5), 9
)</f>
        <v>8</v>
      </c>
      <c r="N31" s="537"/>
      <c r="O31" s="205">
        <v>28</v>
      </c>
      <c r="P31" s="210" t="s">
        <v>1891</v>
      </c>
      <c r="Q31" t="s">
        <v>3443</v>
      </c>
      <c r="R31" s="178">
        <v>8</v>
      </c>
      <c r="S31" s="370">
        <v>3.9166666666666665</v>
      </c>
      <c r="T31" s="265">
        <v>4.333333333333333</v>
      </c>
      <c r="U31" s="370">
        <v>4.583333333333333</v>
      </c>
      <c r="V31" s="370">
        <v>4.5</v>
      </c>
      <c r="W31" s="549"/>
      <c r="Z31" s="11"/>
      <c r="AA31" s="13"/>
      <c r="AB31" s="261"/>
      <c r="AC31" s="102"/>
      <c r="AD31" s="264"/>
      <c r="AE31" s="264"/>
      <c r="AF31" s="264"/>
      <c r="AG31" s="264"/>
    </row>
    <row r="32" spans="1:33" ht="16" x14ac:dyDescent="0.4">
      <c r="A32" s="102">
        <f>_xlfn.XLOOKUP(B32, 'Open Source Tools'!$E$3:$E$208, 'Open Source Tools'!$A$3:$A$208, "Not found")</f>
        <v>191</v>
      </c>
      <c r="B32" s="151" t="s">
        <v>2978</v>
      </c>
      <c r="C32" t="str">
        <f>INDEX('Open Source Tools'!C:C, MATCH(B32, 'Open Source Tools'!E:E, 0))</f>
        <v>Environmental Monitoring Tools</v>
      </c>
      <c r="D32" t="str">
        <f>VLOOKUP(B32,'TRL Metrics Score'!$B$5:$C$208, 2,FALSE)</f>
        <v>Weather Forecasting Tools</v>
      </c>
      <c r="E32" s="203">
        <f>VLOOKUP($B32,'TRL per Applications'!$B$5:$AC$82,10,FALSE)</f>
        <v>3.4166666666666665</v>
      </c>
      <c r="F32" s="203">
        <f>VLOOKUP($B32,'TRL per Applications'!$B$5:$AC$82,15,FALSE)</f>
        <v>5</v>
      </c>
      <c r="G32" s="203">
        <f>VLOOKUP($B32,'TRL per Applications'!$B$5:$AC$82,22,FALSE)</f>
        <v>4.416666666666667</v>
      </c>
      <c r="H32" s="203">
        <f>VLOOKUP($B32,'TRL per Applications'!$B$5:$AC$82,27,FALSE)</f>
        <v>4.666666666666667</v>
      </c>
      <c r="I32" s="388">
        <f>VLOOKUP($B32,'TRL per Applications'!$B$5:$AC$82,28,FALSE)</f>
        <v>4.5083333333333329</v>
      </c>
      <c r="J32" s="299" cm="1">
        <f t="array" ref="J32">+_xlfn.IFS(
  AND(I32&gt;=1, I32&lt;1.5), 1,
  AND(I32&gt;=1.5, I32&lt;2), 2,
  AND(I32&gt;=2, I32&lt;2.3), 3,
  AND(I32&gt;=2.3, I32&lt;2.6), 4,
  AND(I32&gt;=2.6, I32&lt;3), 5,
  AND(I32&gt;=3, I32&lt;3.5), 6,
  AND(I32&gt;=3.5, I32&lt;4), 7,
  AND(I32&gt;=4, I32&lt;=4.499), 8,
  AND(I32&gt;=4.5, I32&lt;=5), 9
)</f>
        <v>9</v>
      </c>
      <c r="N32" s="537"/>
      <c r="O32" s="205">
        <v>29</v>
      </c>
      <c r="P32" s="210" t="s">
        <v>3080</v>
      </c>
      <c r="Q32" s="172" t="s">
        <v>417</v>
      </c>
      <c r="R32" s="178">
        <v>8</v>
      </c>
      <c r="S32" s="176">
        <v>2.9166666666666665</v>
      </c>
      <c r="T32" s="173">
        <v>4.7777777777777777</v>
      </c>
      <c r="U32" s="173">
        <v>3.8333333333333335</v>
      </c>
      <c r="V32" s="173">
        <v>4.416666666666667</v>
      </c>
      <c r="W32" s="549"/>
      <c r="Z32" s="11"/>
      <c r="AA32" s="13"/>
      <c r="AB32" s="261"/>
      <c r="AC32" s="102"/>
      <c r="AD32" s="264"/>
      <c r="AE32" s="264"/>
      <c r="AF32" s="264"/>
      <c r="AG32" s="264"/>
    </row>
    <row r="33" spans="1:33" ht="16.5" thickBot="1" x14ac:dyDescent="0.4">
      <c r="A33" s="229">
        <f>_xlfn.XLOOKUP(B33, 'Open Source Tools'!$E$3:$E$208, 'Open Source Tools'!$A$3:$A$208, "Not found")</f>
        <v>28</v>
      </c>
      <c r="B33" s="246" t="s">
        <v>851</v>
      </c>
      <c r="C33" s="109" t="str">
        <f>INDEX('Open Source Tools'!C:C, MATCH(B33, 'Open Source Tools'!E:E, 0))</f>
        <v>Energy Management and Monitoring Tools</v>
      </c>
      <c r="D33" s="109" t="str">
        <f>VLOOKUP(B33,'TRL Metrics Score'!$B$5:$C$208, 2,FALSE)</f>
        <v>Community Energy Management Systems (CEMS)</v>
      </c>
      <c r="E33" s="122">
        <f>VLOOKUP($B33,'TRL per Applications'!$B$5:$AC$82,10,FALSE)</f>
        <v>3.4166666666666665</v>
      </c>
      <c r="F33" s="111">
        <f>VLOOKUP($B33,'TRL per Applications'!$B$5:$AC$82,15,FALSE)</f>
        <v>4.333333333333333</v>
      </c>
      <c r="G33" s="122">
        <f>VLOOKUP($B33,'TRL per Applications'!$B$5:$AC$82,22,FALSE)</f>
        <v>3.9166666666666665</v>
      </c>
      <c r="H33" s="229">
        <f>VLOOKUP($B33,'TRL per Applications'!$B$5:$AC$82,27,FALSE)</f>
        <v>4.416666666666667</v>
      </c>
      <c r="I33" s="394">
        <f>VLOOKUP($B33,'TRL per Applications'!$B$5:$AC$82,28,FALSE)</f>
        <v>4.1749999999999998</v>
      </c>
      <c r="J33" s="389" cm="1">
        <f t="array" ref="J33">+_xlfn.IFS(
  AND(I33&gt;=1, I33&lt;1.5), 1,
  AND(I33&gt;=1.5, I33&lt;2), 2,
  AND(I33&gt;=2, I33&lt;2.3), 3,
  AND(I33&gt;=2.3, I33&lt;2.6), 4,
  AND(I33&gt;=2.6, I33&lt;3), 5,
  AND(I33&gt;=3, I33&lt;3.5), 6,
  AND(I33&gt;=3.5, I33&lt;4), 7,
  AND(I33&gt;=4, I33&lt;=4.499), 8,
  AND(I33&gt;=4.5, I33&lt;=5), 9
)</f>
        <v>8</v>
      </c>
      <c r="N33" s="537"/>
      <c r="O33" s="211">
        <v>30</v>
      </c>
      <c r="P33" s="210" t="s">
        <v>851</v>
      </c>
      <c r="Q33" s="172" t="s">
        <v>123</v>
      </c>
      <c r="R33" s="214">
        <v>8</v>
      </c>
      <c r="S33" s="175">
        <v>3.4166666666666665</v>
      </c>
      <c r="T33" s="173">
        <v>4.333333333333333</v>
      </c>
      <c r="U33" s="173">
        <v>3.9166666666666665</v>
      </c>
      <c r="V33" s="170">
        <v>4.416666666666667</v>
      </c>
      <c r="W33" s="548"/>
      <c r="Z33" s="11"/>
      <c r="AA33" s="13"/>
      <c r="AB33" s="261"/>
      <c r="AC33" s="271"/>
      <c r="AD33" s="263"/>
      <c r="AE33" s="264"/>
      <c r="AF33" s="264"/>
      <c r="AG33" s="263"/>
    </row>
    <row r="34" spans="1:33" ht="15" thickBot="1" x14ac:dyDescent="0.4">
      <c r="J34" s="102"/>
      <c r="N34" s="212"/>
      <c r="O34" s="213"/>
      <c r="P34" s="213"/>
      <c r="Q34" s="213"/>
      <c r="R34" s="213"/>
      <c r="S34" s="213"/>
      <c r="T34" s="213"/>
      <c r="U34" s="172"/>
      <c r="V34" s="213"/>
      <c r="W34" s="550"/>
    </row>
    <row r="35" spans="1:33" ht="14.5" customHeight="1" x14ac:dyDescent="0.35">
      <c r="A35" s="527" t="s">
        <v>3283</v>
      </c>
      <c r="B35" s="528"/>
      <c r="C35" s="528"/>
      <c r="D35" s="529"/>
      <c r="E35" s="519" t="s">
        <v>3173</v>
      </c>
      <c r="F35" s="521" t="s">
        <v>3376</v>
      </c>
      <c r="G35" s="523" t="s">
        <v>3111</v>
      </c>
      <c r="H35" s="525" t="s">
        <v>3112</v>
      </c>
      <c r="I35" s="512" t="s">
        <v>3174</v>
      </c>
      <c r="J35" s="531" t="s">
        <v>3175</v>
      </c>
      <c r="Q35" s="172"/>
      <c r="R35" s="172"/>
      <c r="S35" s="172"/>
      <c r="T35" s="172"/>
      <c r="U35" s="172"/>
      <c r="V35" s="327"/>
      <c r="W35" s="168"/>
    </row>
    <row r="36" spans="1:33" ht="34" customHeight="1" x14ac:dyDescent="0.35">
      <c r="A36" s="530"/>
      <c r="B36" s="517"/>
      <c r="C36" s="517"/>
      <c r="D36" s="518"/>
      <c r="E36" s="520"/>
      <c r="F36" s="522"/>
      <c r="G36" s="524"/>
      <c r="H36" s="526"/>
      <c r="I36" s="513"/>
      <c r="J36" s="532"/>
      <c r="N36" s="172"/>
      <c r="O36" s="533" t="s">
        <v>3284</v>
      </c>
      <c r="P36" s="533"/>
      <c r="Q36" s="533"/>
      <c r="R36" s="533"/>
      <c r="S36" s="533"/>
      <c r="T36" s="533"/>
      <c r="U36" s="533"/>
      <c r="V36" s="533"/>
    </row>
    <row r="37" spans="1:33" ht="26.15" customHeight="1" thickBot="1" x14ac:dyDescent="0.4">
      <c r="A37" s="190" t="s">
        <v>34</v>
      </c>
      <c r="B37" s="191" t="s">
        <v>3165</v>
      </c>
      <c r="C37" s="191" t="s">
        <v>3172</v>
      </c>
      <c r="D37" s="191" t="s">
        <v>3166</v>
      </c>
      <c r="E37" s="267" t="s">
        <v>3152</v>
      </c>
      <c r="F37" s="268" t="s">
        <v>3152</v>
      </c>
      <c r="G37" s="269" t="s">
        <v>3152</v>
      </c>
      <c r="H37" s="266" t="s">
        <v>3152</v>
      </c>
      <c r="I37" s="514"/>
      <c r="J37" s="532"/>
      <c r="N37" s="534"/>
      <c r="O37" s="533"/>
      <c r="P37" s="533"/>
      <c r="Q37" s="533"/>
      <c r="R37" s="533"/>
      <c r="S37" s="533"/>
      <c r="T37" s="533"/>
      <c r="U37" s="533"/>
      <c r="V37" s="533"/>
      <c r="W37" s="536"/>
    </row>
    <row r="38" spans="1:33" ht="19" customHeight="1" x14ac:dyDescent="0.35">
      <c r="A38" s="102">
        <f>_xlfn.XLOOKUP(B38, 'Open Source Tools'!$E$3:$E$208, 'Open Source Tools'!$A$3:$A$208, "Not found")</f>
        <v>24</v>
      </c>
      <c r="B38" s="9" t="s">
        <v>804</v>
      </c>
      <c r="C38" t="str">
        <f>INDEX('Open Source Tools'!C:C, MATCH(B38, 'Open Source Tools'!E:E, 0))</f>
        <v>Communication and Collaboration Tools</v>
      </c>
      <c r="D38" t="str">
        <f>VLOOKUP(B38,'TRL Metrics Score'!$B$5:$C$208, 2,FALSE)</f>
        <v>Blockchain Technology (or DLT)</v>
      </c>
      <c r="E38" s="202">
        <f>VLOOKUP($B38,'TRL Metrics Score'!$B$5:$AC$208,9,FALSE)</f>
        <v>4.666666666666667</v>
      </c>
      <c r="F38" s="202">
        <f>VLOOKUP($B38,'TRL Metrics Score'!$B$5:$AC$208,14,FALSE)</f>
        <v>5</v>
      </c>
      <c r="G38" s="202">
        <f>VLOOKUP($B38,'TRL Metrics Score'!$B$5:$AC$208,21,FALSE)</f>
        <v>4.166666666666667</v>
      </c>
      <c r="H38" s="202">
        <f>VLOOKUP($B38,'TRL Metrics Score'!$B$5:$AC$208,26,FALSE)</f>
        <v>4.916666666666667</v>
      </c>
      <c r="I38" s="202">
        <f>VLOOKUP($B38,'TRL Metrics Score'!$B$5:$AC$208,27,FALSE)</f>
        <v>4.7833333333333332</v>
      </c>
      <c r="J38" s="395" cm="1">
        <f t="array" ref="J38">+_xlfn.IFS(
  AND(I38&gt;=1, I38&lt;1.5), 1,
  AND(I38&gt;=1.5, I38&lt;2), 2,
  AND(I38&gt;=2, I38&lt;2.3), 3,
  AND(I38&gt;=2.3, I38&lt;2.6), 4,
  AND(I38&gt;=2.6, I38&lt;3), 5,
  AND(I38&gt;=3, I38&lt;3.5), 6,
  AND(I38&gt;=3.5, I38&lt;4), 7,
  AND(I38&gt;=4, I38&lt;=4.499), 8,
  AND(I38&gt;=4.5, I38&lt;=5), 9
)</f>
        <v>9</v>
      </c>
      <c r="N38" s="535"/>
      <c r="O38" s="3" t="s">
        <v>34</v>
      </c>
      <c r="P38" s="374" t="s">
        <v>3165</v>
      </c>
      <c r="Q38" s="374"/>
      <c r="R38" s="323" t="s">
        <v>3177</v>
      </c>
      <c r="S38" s="174" t="s">
        <v>3110</v>
      </c>
      <c r="T38" s="169" t="s">
        <v>3376</v>
      </c>
      <c r="U38" s="169" t="s">
        <v>3111</v>
      </c>
      <c r="V38" s="169" t="s">
        <v>3112</v>
      </c>
      <c r="W38" s="537"/>
    </row>
    <row r="39" spans="1:33" ht="16" x14ac:dyDescent="0.35">
      <c r="A39" s="102">
        <f>_xlfn.XLOOKUP(B39, 'Open Source Tools'!$E$3:$E$208, 'Open Source Tools'!$A$3:$A$208, "Not found")</f>
        <v>36</v>
      </c>
      <c r="B39" s="9" t="s">
        <v>958</v>
      </c>
      <c r="C39" t="str">
        <f>INDEX('Open Source Tools'!C:C, MATCH(B39, 'Open Source Tools'!E:E, 0))</f>
        <v>Communication and Collaboration Tools</v>
      </c>
      <c r="D39" t="str">
        <f>VLOOKUP(B39,'TRL Metrics Score'!$B$5:$C$208, 2,FALSE)</f>
        <v>Mobile Apps</v>
      </c>
      <c r="E39" s="203">
        <f>VLOOKUP($B39,'TRL Metrics Score'!$B$5:$AC$208,9,FALSE)</f>
        <v>4.75</v>
      </c>
      <c r="F39" s="203">
        <f>VLOOKUP($B39,'TRL Metrics Score'!$B$5:$AC$208,14,FALSE)</f>
        <v>4.5555555555555554</v>
      </c>
      <c r="G39" s="203">
        <f>VLOOKUP($B39,'TRL Metrics Score'!$B$5:$AC$208,21,FALSE)</f>
        <v>4.666666666666667</v>
      </c>
      <c r="H39" s="203">
        <f>VLOOKUP($B39,'TRL Metrics Score'!$B$5:$AC$208,26,FALSE)</f>
        <v>4.916666666666667</v>
      </c>
      <c r="I39" s="203">
        <f>VLOOKUP($B39,'TRL Metrics Score'!$B$5:$AC$208,27,FALSE)</f>
        <v>4.781944444444445</v>
      </c>
      <c r="J39" s="299" cm="1">
        <f t="array" ref="J39">+_xlfn.IFS(
  AND(I39&gt;=1, I39&lt;1.5), 1,
  AND(I39&gt;=1.5, I39&lt;2), 2,
  AND(I39&gt;=2, I39&lt;2.3), 3,
  AND(I39&gt;=2.3, I39&lt;2.6), 4,
  AND(I39&gt;=2.6, I39&lt;3), 5,
  AND(I39&gt;=3, I39&lt;3.5), 6,
  AND(I39&gt;=3.5, I39&lt;4), 7,
  AND(I39&gt;=4, I39&lt;=4.499), 8,
  AND(I39&gt;=4.5, I39&lt;=5), 9
)</f>
        <v>9</v>
      </c>
      <c r="N39" s="535"/>
      <c r="O39" s="375">
        <v>1</v>
      </c>
      <c r="P39" s="336" t="s">
        <v>804</v>
      </c>
      <c r="Q39" s="326" t="s">
        <v>185</v>
      </c>
      <c r="R39" s="177">
        <v>9</v>
      </c>
      <c r="S39" s="175">
        <v>4.666666666666667</v>
      </c>
      <c r="T39" s="170">
        <v>5</v>
      </c>
      <c r="U39" s="170">
        <v>4.166666666666667</v>
      </c>
      <c r="V39" s="170">
        <v>4.916666666666667</v>
      </c>
      <c r="W39" s="538"/>
    </row>
    <row r="40" spans="1:33" ht="16" x14ac:dyDescent="0.35">
      <c r="A40" s="102">
        <f>_xlfn.XLOOKUP(B40, 'Open Source Tools'!$E$3:$E$208, 'Open Source Tools'!$A$3:$A$208, "Not found")</f>
        <v>53</v>
      </c>
      <c r="B40" s="9" t="s">
        <v>1177</v>
      </c>
      <c r="C40" t="str">
        <f>INDEX('Open Source Tools'!C:C, MATCH(B40, 'Open Source Tools'!E:E, 0))</f>
        <v>Artificial Intelligence and Machine Learning Tools</v>
      </c>
      <c r="D40" t="str">
        <f>VLOOKUP(B40,'TRL Metrics Score'!$B$5:$C$208, 2,FALSE)</f>
        <v>Machine Learning Algorithms</v>
      </c>
      <c r="E40" s="203">
        <f>VLOOKUP($B40,'TRL Metrics Score'!$B$5:$AC$208,9,FALSE)</f>
        <v>4.75</v>
      </c>
      <c r="F40" s="203">
        <f>VLOOKUP($B40,'TRL Metrics Score'!$B$5:$AC$208,14,FALSE)</f>
        <v>4.1111111111111107</v>
      </c>
      <c r="G40" s="203">
        <f>VLOOKUP($B40,'TRL Metrics Score'!$B$5:$AC$208,21,FALSE)</f>
        <v>4.416666666666667</v>
      </c>
      <c r="H40" s="203">
        <f>VLOOKUP($B40,'TRL Metrics Score'!$B$5:$AC$208,26,FALSE)</f>
        <v>5</v>
      </c>
      <c r="I40" s="203">
        <f>VLOOKUP($B40,'TRL Metrics Score'!$B$5:$AC$208,27,FALSE)</f>
        <v>4.6972222222222229</v>
      </c>
      <c r="J40" s="299" cm="1">
        <f t="array" ref="J40">+_xlfn.IFS(
  AND(I40&gt;=1, I40&lt;1.5), 1,
  AND(I40&gt;=1.5, I40&lt;2), 2,
  AND(I40&gt;=2, I40&lt;2.3), 3,
  AND(I40&gt;=2.3, I40&lt;2.6), 4,
  AND(I40&gt;=2.6, I40&lt;3), 5,
  AND(I40&gt;=3, I40&lt;3.5), 6,
  AND(I40&gt;=3.5, I40&lt;4), 7,
  AND(I40&gt;=4, I40&lt;=4.499), 8,
  AND(I40&gt;=4.5, I40&lt;=5), 9
)</f>
        <v>9</v>
      </c>
      <c r="N40" s="535"/>
      <c r="O40" s="375">
        <v>2</v>
      </c>
      <c r="P40" s="336" t="s">
        <v>958</v>
      </c>
      <c r="Q40" s="326" t="s">
        <v>188</v>
      </c>
      <c r="R40" s="177">
        <v>9</v>
      </c>
      <c r="S40" s="175">
        <v>4.75</v>
      </c>
      <c r="T40" s="170">
        <v>4.5555555555555554</v>
      </c>
      <c r="U40" s="170">
        <v>4.666666666666667</v>
      </c>
      <c r="V40" s="170">
        <v>4.916666666666667</v>
      </c>
      <c r="W40" s="538"/>
    </row>
    <row r="41" spans="1:33" ht="16" x14ac:dyDescent="0.35">
      <c r="A41" s="102">
        <f>_xlfn.XLOOKUP(B41, 'Open Source Tools'!$E$3:$E$208, 'Open Source Tools'!$A$3:$A$208, "Not found")</f>
        <v>67</v>
      </c>
      <c r="B41" s="9" t="s">
        <v>1337</v>
      </c>
      <c r="C41" t="str">
        <f>INDEX('Open Source Tools'!C:C, MATCH(B41, 'Open Source Tools'!E:E, 0))</f>
        <v>Data Analytics and Visualization Tools</v>
      </c>
      <c r="D41" t="str">
        <f>VLOOKUP(B41,'TRL Metrics Score'!$B$5:$C$208, 2,FALSE)</f>
        <v>GIS (Geographic Information Systems)</v>
      </c>
      <c r="E41" s="203">
        <f>VLOOKUP($B41,'TRL Metrics Score'!$B$5:$AC$208,9,FALSE)</f>
        <v>4.5</v>
      </c>
      <c r="F41" s="203">
        <f>VLOOKUP($B41,'TRL Metrics Score'!$B$5:$AC$208,14,FALSE)</f>
        <v>4.1111111111111107</v>
      </c>
      <c r="G41" s="203">
        <f>VLOOKUP($B41,'TRL Metrics Score'!$B$5:$AC$208,21,FALSE)</f>
        <v>4.75</v>
      </c>
      <c r="H41" s="203">
        <f>VLOOKUP($B41,'TRL Metrics Score'!$B$5:$AC$208,26,FALSE)</f>
        <v>4.916666666666667</v>
      </c>
      <c r="I41" s="203">
        <f>VLOOKUP($B41,'TRL Metrics Score'!$B$5:$AC$208,27,FALSE)</f>
        <v>4.6680555555555561</v>
      </c>
      <c r="J41" s="299" cm="1">
        <f t="array" ref="J41">+_xlfn.IFS(
  AND(I41&gt;=1, I41&lt;1.5), 1,
  AND(I41&gt;=1.5, I41&lt;2), 2,
  AND(I41&gt;=2, I41&lt;2.3), 3,
  AND(I41&gt;=2.3, I41&lt;2.6), 4,
  AND(I41&gt;=2.6, I41&lt;3), 5,
  AND(I41&gt;=3, I41&lt;3.5), 6,
  AND(I41&gt;=3.5, I41&lt;4), 7,
  AND(I41&gt;=4, I41&lt;=4.499), 8,
  AND(I41&gt;=4.5, I41&lt;=5), 9
)</f>
        <v>9</v>
      </c>
      <c r="N41" s="535"/>
      <c r="O41" s="375">
        <v>3</v>
      </c>
      <c r="P41" s="336" t="s">
        <v>1177</v>
      </c>
      <c r="Q41" s="326" t="s">
        <v>272</v>
      </c>
      <c r="R41" s="177">
        <v>9</v>
      </c>
      <c r="S41" s="175">
        <v>4.75</v>
      </c>
      <c r="T41" s="170">
        <v>4.1111111111111107</v>
      </c>
      <c r="U41" s="170">
        <v>4.416666666666667</v>
      </c>
      <c r="V41" s="170">
        <v>5</v>
      </c>
      <c r="W41" s="538"/>
    </row>
    <row r="42" spans="1:33" ht="16" x14ac:dyDescent="0.35">
      <c r="A42" s="102">
        <f>_xlfn.XLOOKUP(B42, 'Open Source Tools'!$E$3:$E$208, 'Open Source Tools'!$A$3:$A$208, "Not found")</f>
        <v>73</v>
      </c>
      <c r="B42" s="9" t="s">
        <v>1411</v>
      </c>
      <c r="C42" t="str">
        <f>INDEX('Open Source Tools'!C:C, MATCH(B42, 'Open Source Tools'!E:E, 0))</f>
        <v>Data Analytics and Visualization Tools</v>
      </c>
      <c r="D42" t="str">
        <f>VLOOKUP(B42,'TRL Metrics Score'!$B$5:$C$208, 2,FALSE)</f>
        <v>Energy Dashboards</v>
      </c>
      <c r="E42" s="203">
        <f>VLOOKUP($B42,'TRL Metrics Score'!$B$5:$AC$208,9,FALSE)</f>
        <v>4.166666666666667</v>
      </c>
      <c r="F42" s="203">
        <f>VLOOKUP($B42,'TRL Metrics Score'!$B$5:$AC$208,14,FALSE)</f>
        <v>4.333333333333333</v>
      </c>
      <c r="G42" s="203">
        <f>VLOOKUP($B42,'TRL Metrics Score'!$B$5:$AC$208,21,FALSE)</f>
        <v>4.75</v>
      </c>
      <c r="H42" s="203">
        <f>VLOOKUP($B42,'TRL Metrics Score'!$B$5:$AC$208,26,FALSE)</f>
        <v>4.916666666666667</v>
      </c>
      <c r="I42" s="203">
        <f>VLOOKUP($B42,'TRL Metrics Score'!$B$5:$AC$208,27,FALSE)</f>
        <v>4.6624999999999996</v>
      </c>
      <c r="J42" s="299" cm="1">
        <f t="array" ref="J42">+_xlfn.IFS(
  AND(I42&gt;=1, I42&lt;1.5), 1,
  AND(I42&gt;=1.5, I42&lt;2), 2,
  AND(I42&gt;=2, I42&lt;2.3), 3,
  AND(I42&gt;=2.3, I42&lt;2.6), 4,
  AND(I42&gt;=2.6, I42&lt;3), 5,
  AND(I42&gt;=3, I42&lt;3.5), 6,
  AND(I42&gt;=3.5, I42&lt;4), 7,
  AND(I42&gt;=4, I42&lt;=4.499), 8,
  AND(I42&gt;=4.5, I42&lt;=5), 9
)</f>
        <v>9</v>
      </c>
      <c r="N42" s="535"/>
      <c r="O42" s="375">
        <v>4</v>
      </c>
      <c r="P42" s="336" t="s">
        <v>1337</v>
      </c>
      <c r="Q42" s="326" t="s">
        <v>324</v>
      </c>
      <c r="R42" s="177">
        <v>9</v>
      </c>
      <c r="S42" s="175">
        <v>4.5</v>
      </c>
      <c r="T42" s="170">
        <v>4.1111111111111107</v>
      </c>
      <c r="U42" s="170">
        <v>4.75</v>
      </c>
      <c r="V42" s="170">
        <v>4.916666666666667</v>
      </c>
      <c r="W42" s="538"/>
    </row>
    <row r="43" spans="1:33" ht="16" x14ac:dyDescent="0.35">
      <c r="A43" s="102">
        <f>_xlfn.XLOOKUP(B43, 'Open Source Tools'!$E$3:$E$208, 'Open Source Tools'!$A$3:$A$208, "Not found")</f>
        <v>74</v>
      </c>
      <c r="B43" s="9" t="s">
        <v>1423</v>
      </c>
      <c r="C43" t="str">
        <f>INDEX('Open Source Tools'!C:C, MATCH(B43, 'Open Source Tools'!E:E, 0))</f>
        <v>Data Analytics and Visualization Tools</v>
      </c>
      <c r="D43" t="str">
        <f>VLOOKUP(B43,'TRL Metrics Score'!$B$5:$C$208, 2,FALSE)</f>
        <v>Data Visualization Tools</v>
      </c>
      <c r="E43" s="203">
        <f>VLOOKUP($B43,'TRL Metrics Score'!$B$5:$AC$208,9,FALSE)</f>
        <v>4.75</v>
      </c>
      <c r="F43" s="203">
        <f>VLOOKUP($B43,'TRL Metrics Score'!$B$5:$AC$208,14,FALSE)</f>
        <v>4.333333333333333</v>
      </c>
      <c r="G43" s="203">
        <f>VLOOKUP($B43,'TRL Metrics Score'!$B$5:$AC$208,21,FALSE)</f>
        <v>4.833333333333333</v>
      </c>
      <c r="H43" s="203">
        <f>VLOOKUP($B43,'TRL Metrics Score'!$B$5:$AC$208,26,FALSE)</f>
        <v>4.666666666666667</v>
      </c>
      <c r="I43" s="203">
        <f>VLOOKUP($B43,'TRL Metrics Score'!$B$5:$AC$208,27,FALSE)</f>
        <v>4.6375000000000002</v>
      </c>
      <c r="J43" s="299" cm="1">
        <f t="array" ref="J43">+_xlfn.IFS(
  AND(I43&gt;=1, I43&lt;1.5), 1,
  AND(I43&gt;=1.5, I43&lt;2), 2,
  AND(I43&gt;=2, I43&lt;2.3), 3,
  AND(I43&gt;=2.3, I43&lt;2.6), 4,
  AND(I43&gt;=2.6, I43&lt;3), 5,
  AND(I43&gt;=3, I43&lt;3.5), 6,
  AND(I43&gt;=3.5, I43&lt;4), 7,
  AND(I43&gt;=4, I43&lt;=4.499), 8,
  AND(I43&gt;=4.5, I43&lt;=5), 9
)</f>
        <v>9</v>
      </c>
      <c r="N43" s="535"/>
      <c r="O43" s="375">
        <v>5</v>
      </c>
      <c r="P43" s="336" t="s">
        <v>1411</v>
      </c>
      <c r="Q43" s="326" t="s">
        <v>326</v>
      </c>
      <c r="R43" s="177">
        <v>9</v>
      </c>
      <c r="S43" s="175">
        <v>4.166666666666667</v>
      </c>
      <c r="T43" s="170">
        <v>4.333333333333333</v>
      </c>
      <c r="U43" s="170">
        <v>4.75</v>
      </c>
      <c r="V43" s="170">
        <v>4.916666666666667</v>
      </c>
      <c r="W43" s="538"/>
    </row>
    <row r="44" spans="1:33" ht="16" x14ac:dyDescent="0.35">
      <c r="A44" s="102">
        <f>_xlfn.XLOOKUP(B44, 'Open Source Tools'!$E$3:$E$208, 'Open Source Tools'!$A$3:$A$208, "Not found")</f>
        <v>82</v>
      </c>
      <c r="B44" s="9" t="s">
        <v>1520</v>
      </c>
      <c r="C44" t="str">
        <f>INDEX('Open Source Tools'!C:C, MATCH(B44, 'Open Source Tools'!E:E, 0))</f>
        <v>Data Analytics and Visualization Tools</v>
      </c>
      <c r="D44" t="str">
        <f>VLOOKUP(B44,'TRL Metrics Score'!$B$5:$C$208, 2,FALSE)</f>
        <v>Time-Series Data Analysis Tools</v>
      </c>
      <c r="E44" s="203">
        <f>VLOOKUP($B44,'TRL Metrics Score'!$B$5:$AC$208,9,FALSE)</f>
        <v>4.583333333333333</v>
      </c>
      <c r="F44" s="203">
        <f>VLOOKUP($B44,'TRL Metrics Score'!$B$5:$AC$208,14,FALSE)</f>
        <v>4.1111111111111107</v>
      </c>
      <c r="G44" s="203">
        <f>VLOOKUP($B44,'TRL Metrics Score'!$B$5:$AC$208,21,FALSE)</f>
        <v>4.25</v>
      </c>
      <c r="H44" s="203">
        <f>VLOOKUP($B44,'TRL Metrics Score'!$B$5:$AC$208,26,FALSE)</f>
        <v>4.916666666666667</v>
      </c>
      <c r="I44" s="203">
        <f>VLOOKUP($B44,'TRL Metrics Score'!$B$5:$AC$208,27,FALSE)</f>
        <v>4.6055555555555561</v>
      </c>
      <c r="J44" s="299" cm="1">
        <f t="array" ref="J44">+_xlfn.IFS(
  AND(I44&gt;=1, I44&lt;1.5), 1,
  AND(I44&gt;=1.5, I44&lt;2), 2,
  AND(I44&gt;=2, I44&lt;2.3), 3,
  AND(I44&gt;=2.3, I44&lt;2.6), 4,
  AND(I44&gt;=2.6, I44&lt;3), 5,
  AND(I44&gt;=3, I44&lt;3.5), 6,
  AND(I44&gt;=3.5, I44&lt;4), 7,
  AND(I44&gt;=4, I44&lt;=4.499), 8,
  AND(I44&gt;=4.5, I44&lt;=5), 9
)</f>
        <v>9</v>
      </c>
      <c r="N44" s="535"/>
      <c r="O44" s="375">
        <v>6</v>
      </c>
      <c r="P44" s="336" t="s">
        <v>1423</v>
      </c>
      <c r="Q44" s="326" t="s">
        <v>3247</v>
      </c>
      <c r="R44" s="177">
        <v>9</v>
      </c>
      <c r="S44" s="175">
        <v>4.75</v>
      </c>
      <c r="T44" s="170">
        <v>4.333333333333333</v>
      </c>
      <c r="U44" s="170">
        <v>4.833333333333333</v>
      </c>
      <c r="V44" s="170">
        <v>4.666666666666667</v>
      </c>
      <c r="W44" s="538"/>
    </row>
    <row r="45" spans="1:33" ht="16" x14ac:dyDescent="0.35">
      <c r="A45" s="102">
        <f>_xlfn.XLOOKUP(B45, 'Open Source Tools'!$E$3:$E$208, 'Open Source Tools'!$A$3:$A$208, "Not found")</f>
        <v>81</v>
      </c>
      <c r="B45" s="9" t="s">
        <v>1508</v>
      </c>
      <c r="C45" t="str">
        <f>INDEX('Open Source Tools'!C:C, MATCH(B45, 'Open Source Tools'!E:E, 0))</f>
        <v>Data Analytics and Visualization Tools</v>
      </c>
      <c r="D45" t="str">
        <f>VLOOKUP(B45,'TRL Metrics Score'!$B$5:$C$208, 2,FALSE)</f>
        <v>Time-Series Data Analysis Tools</v>
      </c>
      <c r="E45" s="203">
        <f>VLOOKUP($B45,'TRL Metrics Score'!$B$5:$AC$208,9,FALSE)</f>
        <v>4.416666666666667</v>
      </c>
      <c r="F45" s="203">
        <f>VLOOKUP($B45,'TRL Metrics Score'!$B$5:$AC$208,14,FALSE)</f>
        <v>4.1111111111111107</v>
      </c>
      <c r="G45" s="203">
        <f>VLOOKUP($B45,'TRL Metrics Score'!$B$5:$AC$208,21,FALSE)</f>
        <v>4.333333333333333</v>
      </c>
      <c r="H45" s="203">
        <f>VLOOKUP($B45,'TRL Metrics Score'!$B$5:$AC$208,26,FALSE)</f>
        <v>4.833333333333333</v>
      </c>
      <c r="I45" s="203">
        <f>VLOOKUP($B45,'TRL Metrics Score'!$B$5:$AC$208,27,FALSE)</f>
        <v>4.5513888888888889</v>
      </c>
      <c r="J45" s="299" cm="1">
        <f t="array" ref="J45">+_xlfn.IFS(
  AND(I45&gt;=1, I45&lt;1.5), 1,
  AND(I45&gt;=1.5, I45&lt;2), 2,
  AND(I45&gt;=2, I45&lt;2.3), 3,
  AND(I45&gt;=2.3, I45&lt;2.6), 4,
  AND(I45&gt;=2.6, I45&lt;3), 5,
  AND(I45&gt;=3, I45&lt;3.5), 6,
  AND(I45&gt;=3.5, I45&lt;4), 7,
  AND(I45&gt;=4, I45&lt;=4.499), 8,
  AND(I45&gt;=4.5, I45&lt;=5), 9
)</f>
        <v>9</v>
      </c>
      <c r="N45" s="535"/>
      <c r="O45" s="375">
        <v>7</v>
      </c>
      <c r="P45" s="336" t="s">
        <v>1520</v>
      </c>
      <c r="Q45" s="326" t="s">
        <v>332</v>
      </c>
      <c r="R45" s="177">
        <v>9</v>
      </c>
      <c r="S45" s="175">
        <v>4.583333333333333</v>
      </c>
      <c r="T45" s="170">
        <v>4.1111111111111107</v>
      </c>
      <c r="U45" s="170">
        <v>4.25</v>
      </c>
      <c r="V45" s="170">
        <v>4.916666666666667</v>
      </c>
      <c r="W45" s="538"/>
    </row>
    <row r="46" spans="1:33" ht="16" x14ac:dyDescent="0.35">
      <c r="A46" s="102">
        <f>_xlfn.XLOOKUP(B46, 'Open Source Tools'!$E$3:$E$208, 'Open Source Tools'!$A$3:$A$208, "Not found")</f>
        <v>44</v>
      </c>
      <c r="B46" s="9" t="s">
        <v>1065</v>
      </c>
      <c r="C46" t="str">
        <f>INDEX('Open Source Tools'!C:C, MATCH(B46, 'Open Source Tools'!E:E, 0))</f>
        <v>Maintenance and Safety Tools</v>
      </c>
      <c r="D46" t="str">
        <f>VLOOKUP(B46,'TRL Metrics Score'!$B$5:$C$208, 2,FALSE)</f>
        <v>Cybersecurity Tools for Energy Systems</v>
      </c>
      <c r="E46" s="203">
        <f>VLOOKUP($B46,'TRL Metrics Score'!$B$5:$AC$208,9,FALSE)</f>
        <v>4</v>
      </c>
      <c r="F46" s="203">
        <f>VLOOKUP($B46,'TRL Metrics Score'!$B$5:$AC$208,14,FALSE)</f>
        <v>4.333333333333333</v>
      </c>
      <c r="G46" s="203">
        <f>VLOOKUP($B46,'TRL Metrics Score'!$B$5:$AC$208,21,FALSE)</f>
        <v>4.166666666666667</v>
      </c>
      <c r="H46" s="203">
        <f>VLOOKUP($B46,'TRL Metrics Score'!$B$5:$AC$208,26,FALSE)</f>
        <v>4.916666666666667</v>
      </c>
      <c r="I46" s="203">
        <f>VLOOKUP($B46,'TRL Metrics Score'!$B$5:$AC$208,27,FALSE)</f>
        <v>4.5500000000000007</v>
      </c>
      <c r="J46" s="299" cm="1">
        <f t="array" ref="J46">+_xlfn.IFS(
  AND(I46&gt;=1, I46&lt;1.5), 1,
  AND(I46&gt;=1.5, I46&lt;2), 2,
  AND(I46&gt;=2, I46&lt;2.3), 3,
  AND(I46&gt;=2.3, I46&lt;2.6), 4,
  AND(I46&gt;=2.6, I46&lt;3), 5,
  AND(I46&gt;=3, I46&lt;3.5), 6,
  AND(I46&gt;=3.5, I46&lt;4), 7,
  AND(I46&gt;=4, I46&lt;=4.499), 8,
  AND(I46&gt;=4.5, I46&lt;=5), 9
)</f>
        <v>9</v>
      </c>
      <c r="N46" s="535"/>
      <c r="O46" s="375">
        <v>8</v>
      </c>
      <c r="P46" s="336" t="s">
        <v>1508</v>
      </c>
      <c r="Q46" s="326" t="s">
        <v>332</v>
      </c>
      <c r="R46" s="177">
        <v>9</v>
      </c>
      <c r="S46" s="175">
        <v>4.416666666666667</v>
      </c>
      <c r="T46" s="170">
        <v>4.1111111111111107</v>
      </c>
      <c r="U46" s="170">
        <v>4.333333333333333</v>
      </c>
      <c r="V46" s="170">
        <v>4.833333333333333</v>
      </c>
      <c r="W46" s="538"/>
    </row>
    <row r="47" spans="1:33" ht="16" x14ac:dyDescent="0.4">
      <c r="A47" s="102">
        <f>_xlfn.XLOOKUP(B47, 'Open Source Tools'!$E$3:$E$208, 'Open Source Tools'!$A$3:$A$208, "Not found")</f>
        <v>137</v>
      </c>
      <c r="B47" s="151" t="s">
        <v>2284</v>
      </c>
      <c r="C47" t="str">
        <f>INDEX('Open Source Tools'!C:C, MATCH(B47, 'Open Source Tools'!E:E, 0))</f>
        <v>Energy Management and Monitoring Tools</v>
      </c>
      <c r="D47" t="str">
        <f>VLOOKUP(B47,'TRL Metrics Score'!$B$5:$C$208, 2,FALSE)</f>
        <v>Energy Analytics Platforms</v>
      </c>
      <c r="E47" s="203">
        <f>VLOOKUP($B47,'TRL Metrics Score'!$B$5:$AC$208,9,FALSE)</f>
        <v>4.166666666666667</v>
      </c>
      <c r="F47" s="203">
        <f>VLOOKUP($B47,'TRL Metrics Score'!$B$5:$AC$208,14,FALSE)</f>
        <v>4.7777777777777777</v>
      </c>
      <c r="G47" s="203">
        <f>VLOOKUP($B47,'TRL Metrics Score'!$B$5:$AC$208,21,FALSE)</f>
        <v>4.25</v>
      </c>
      <c r="H47" s="203">
        <f>VLOOKUP($B47,'TRL Metrics Score'!$B$5:$AC$208,26,FALSE)</f>
        <v>4.583333333333333</v>
      </c>
      <c r="I47" s="203">
        <f>VLOOKUP($B47,'TRL Metrics Score'!$B$5:$AC$208,27,FALSE)</f>
        <v>4.5097222222222229</v>
      </c>
      <c r="J47" s="299" cm="1">
        <f t="array" ref="J47">+_xlfn.IFS(
  AND(I47&gt;=1, I47&lt;1.5), 1,
  AND(I47&gt;=1.5, I47&lt;2), 2,
  AND(I47&gt;=2, I47&lt;2.3), 3,
  AND(I47&gt;=2.3, I47&lt;2.6), 4,
  AND(I47&gt;=2.6, I47&lt;3), 5,
  AND(I47&gt;=3, I47&lt;3.5), 6,
  AND(I47&gt;=3.5, I47&lt;4), 7,
  AND(I47&gt;=4, I47&lt;=4.499), 8,
  AND(I47&gt;=4.5, I47&lt;=5), 9
)</f>
        <v>9</v>
      </c>
      <c r="N47" s="535"/>
      <c r="O47" s="375">
        <v>9</v>
      </c>
      <c r="P47" s="336" t="s">
        <v>1065</v>
      </c>
      <c r="Q47" s="326" t="s">
        <v>244</v>
      </c>
      <c r="R47" s="177">
        <v>9</v>
      </c>
      <c r="S47" s="175">
        <v>4</v>
      </c>
      <c r="T47" s="170">
        <v>4.333333333333333</v>
      </c>
      <c r="U47" s="170">
        <v>4.166666666666667</v>
      </c>
      <c r="V47" s="170">
        <v>4.916666666666667</v>
      </c>
      <c r="W47" s="538"/>
    </row>
    <row r="48" spans="1:33" ht="16" x14ac:dyDescent="0.4">
      <c r="A48" s="102">
        <f>_xlfn.XLOOKUP(B48, 'Open Source Tools'!$E$3:$E$208, 'Open Source Tools'!$A$3:$A$208, "Not found")</f>
        <v>107</v>
      </c>
      <c r="B48" s="9" t="s">
        <v>1845</v>
      </c>
      <c r="C48" t="str">
        <f>INDEX('Open Source Tools'!C:C, MATCH(B48, 'Open Source Tools'!E:E, 0))</f>
        <v>Energy Management and Monitoring Tools</v>
      </c>
      <c r="D48" t="str">
        <f>VLOOKUP(B48,'TRL Metrics Score'!$B$5:$C$208, 2,FALSE)</f>
        <v>Home Energy Management Systems (HEMS)</v>
      </c>
      <c r="E48" s="203">
        <f>VLOOKUP($B48,'TRL Metrics Score'!$B$5:$AC$208,9,FALSE)</f>
        <v>3.4166666666666665</v>
      </c>
      <c r="F48" s="203">
        <f>VLOOKUP($B48,'TRL Metrics Score'!$B$5:$AC$208,14,FALSE)</f>
        <v>4.7777777777777777</v>
      </c>
      <c r="G48" s="203">
        <f>VLOOKUP($B48,'TRL Metrics Score'!$B$5:$AC$208,21,FALSE)</f>
        <v>4.166666666666667</v>
      </c>
      <c r="H48" s="203">
        <f>VLOOKUP($B48,'TRL Metrics Score'!$B$5:$AC$208,26,FALSE)</f>
        <v>4.833333333333333</v>
      </c>
      <c r="I48" s="203">
        <f>VLOOKUP($B48,'TRL Metrics Score'!$B$5:$AC$208,27,FALSE)</f>
        <v>4.509722222222222</v>
      </c>
      <c r="J48" s="299" cm="1">
        <f t="array" ref="J48">+_xlfn.IFS(
  AND(I48&gt;=1, I48&lt;1.5), 1,
  AND(I48&gt;=1.5, I48&lt;2), 2,
  AND(I48&gt;=2, I48&lt;2.3), 3,
  AND(I48&gt;=2.3, I48&lt;2.6), 4,
  AND(I48&gt;=2.6, I48&lt;3), 5,
  AND(I48&gt;=3, I48&lt;3.5), 6,
  AND(I48&gt;=3.5, I48&lt;4), 7,
  AND(I48&gt;=4, I48&lt;=4.499), 8,
  AND(I48&gt;=4.5, I48&lt;=5), 9
)</f>
        <v>9</v>
      </c>
      <c r="N48" s="535"/>
      <c r="O48" s="375">
        <v>10</v>
      </c>
      <c r="P48" s="376" t="s">
        <v>2284</v>
      </c>
      <c r="Q48" s="326" t="s">
        <v>140</v>
      </c>
      <c r="R48" s="177">
        <v>9</v>
      </c>
      <c r="S48" s="175">
        <v>4.166666666666667</v>
      </c>
      <c r="T48" s="170">
        <v>4.7777777777777777</v>
      </c>
      <c r="U48" s="170">
        <v>4.25</v>
      </c>
      <c r="V48" s="170">
        <v>4.583333333333333</v>
      </c>
      <c r="W48" s="538"/>
    </row>
    <row r="49" spans="1:23" ht="16" x14ac:dyDescent="0.4">
      <c r="A49" s="102">
        <f>_xlfn.XLOOKUP(B49, 'Open Source Tools'!$E$3:$E$208, 'Open Source Tools'!$A$3:$A$208, "Not found")</f>
        <v>191</v>
      </c>
      <c r="B49" s="151" t="s">
        <v>2978</v>
      </c>
      <c r="C49" t="str">
        <f>INDEX('Open Source Tools'!C:C, MATCH(B49, 'Open Source Tools'!E:E, 0))</f>
        <v>Environmental Monitoring Tools</v>
      </c>
      <c r="D49" t="str">
        <f>VLOOKUP(B49,'TRL Metrics Score'!$B$5:$C$208, 2,FALSE)</f>
        <v>Weather Forecasting Tools</v>
      </c>
      <c r="E49" s="203">
        <f>VLOOKUP($B49,'TRL Metrics Score'!$B$5:$AC$208,9,FALSE)</f>
        <v>3.4166666666666665</v>
      </c>
      <c r="F49" s="203">
        <f>VLOOKUP($B49,'TRL Metrics Score'!$B$5:$AC$208,14,FALSE)</f>
        <v>5</v>
      </c>
      <c r="G49" s="203">
        <f>VLOOKUP($B49,'TRL Metrics Score'!$B$5:$AC$208,21,FALSE)</f>
        <v>4.416666666666667</v>
      </c>
      <c r="H49" s="203">
        <f>VLOOKUP($B49,'TRL Metrics Score'!$B$5:$AC$208,26,FALSE)</f>
        <v>4.666666666666667</v>
      </c>
      <c r="I49" s="203">
        <f>VLOOKUP($B49,'TRL Metrics Score'!$B$5:$AC$208,27,FALSE)</f>
        <v>4.5083333333333329</v>
      </c>
      <c r="J49" s="299" cm="1">
        <f t="array" ref="J49">+_xlfn.IFS(
  AND(I49&gt;=1, I49&lt;1.5), 1,
  AND(I49&gt;=1.5, I49&lt;2), 2,
  AND(I49&gt;=2, I49&lt;2.3), 3,
  AND(I49&gt;=2.3, I49&lt;2.6), 4,
  AND(I49&gt;=2.6, I49&lt;3), 5,
  AND(I49&gt;=3, I49&lt;3.5), 6,
  AND(I49&gt;=3.5, I49&lt;4), 7,
  AND(I49&gt;=4, I49&lt;=4.499), 8,
  AND(I49&gt;=4.5, I49&lt;=5), 9
)</f>
        <v>9</v>
      </c>
      <c r="N49" s="535"/>
      <c r="O49" s="375">
        <v>11</v>
      </c>
      <c r="P49" s="336" t="s">
        <v>1845</v>
      </c>
      <c r="Q49" s="326" t="s">
        <v>128</v>
      </c>
      <c r="R49" s="177">
        <v>9</v>
      </c>
      <c r="S49" s="175">
        <v>3.4166666666666665</v>
      </c>
      <c r="T49" s="170">
        <v>4.7777777777777777</v>
      </c>
      <c r="U49" s="170">
        <v>4.166666666666667</v>
      </c>
      <c r="V49" s="170">
        <v>4.833333333333333</v>
      </c>
      <c r="W49" s="538"/>
    </row>
    <row r="50" spans="1:23" ht="16" x14ac:dyDescent="0.4">
      <c r="A50" s="102">
        <f>_xlfn.XLOOKUP(B50, 'Open Source Tools'!$E$3:$E$208, 'Open Source Tools'!$A$3:$A$208, "Not found")</f>
        <v>76</v>
      </c>
      <c r="B50" s="9" t="s">
        <v>1447</v>
      </c>
      <c r="C50" t="str">
        <f>INDEX('Open Source Tools'!C:C, MATCH(B50, 'Open Source Tools'!E:E, 0))</f>
        <v>Data Analytics and Visualization Tools</v>
      </c>
      <c r="D50" t="str">
        <f>VLOOKUP(B50,'TRL Metrics Score'!$B$5:$C$208, 2,FALSE)</f>
        <v>Data Visualization Tools</v>
      </c>
      <c r="E50" s="203">
        <f>VLOOKUP($B50,'TRL Metrics Score'!$B$5:$AC$208,9,FALSE)</f>
        <v>4.5</v>
      </c>
      <c r="F50" s="203">
        <f>VLOOKUP($B50,'TRL Metrics Score'!$B$5:$AC$208,14,FALSE)</f>
        <v>4.1111111111111107</v>
      </c>
      <c r="G50" s="203">
        <f>VLOOKUP($B50,'TRL Metrics Score'!$B$5:$AC$208,21,FALSE)</f>
        <v>4.416666666666667</v>
      </c>
      <c r="H50" s="203">
        <f>VLOOKUP($B50,'TRL Metrics Score'!$B$5:$AC$208,26,FALSE)</f>
        <v>4.666666666666667</v>
      </c>
      <c r="I50" s="203">
        <f>VLOOKUP($B50,'TRL Metrics Score'!$B$5:$AC$208,27,FALSE)</f>
        <v>4.4930555555555554</v>
      </c>
      <c r="J50" s="299" cm="1">
        <f t="array" ref="J50">+_xlfn.IFS(
  AND(I50&gt;=1, I50&lt;1.5), 1,
  AND(I50&gt;=1.5, I50&lt;2), 2,
  AND(I50&gt;=2, I50&lt;2.3), 3,
  AND(I50&gt;=2.3, I50&lt;2.6), 4,
  AND(I50&gt;=2.6, I50&lt;3), 5,
  AND(I50&gt;=3, I50&lt;3.5), 6,
  AND(I50&gt;=3.5, I50&lt;4), 7,
  AND(I50&gt;=4, I50&lt;=4.499), 8,
  AND(I50&gt;=4.5, I50&lt;=5), 9
)</f>
        <v>8</v>
      </c>
      <c r="N50" s="535"/>
      <c r="O50" s="375">
        <v>12</v>
      </c>
      <c r="P50" s="376" t="s">
        <v>2978</v>
      </c>
      <c r="Q50" s="326" t="s">
        <v>225</v>
      </c>
      <c r="R50" s="177">
        <v>9</v>
      </c>
      <c r="S50" s="175">
        <v>3.4166666666666665</v>
      </c>
      <c r="T50" s="170">
        <v>5</v>
      </c>
      <c r="U50" s="170">
        <v>4.416666666666667</v>
      </c>
      <c r="V50" s="170">
        <v>4.666666666666667</v>
      </c>
      <c r="W50" s="538"/>
    </row>
    <row r="51" spans="1:23" ht="16" x14ac:dyDescent="0.35">
      <c r="A51" s="102">
        <f>_xlfn.XLOOKUP(B51, 'Open Source Tools'!$E$3:$E$208, 'Open Source Tools'!$A$3:$A$208, "Not found")</f>
        <v>135</v>
      </c>
      <c r="B51" s="9" t="s">
        <v>2257</v>
      </c>
      <c r="C51" t="str">
        <f>INDEX('Open Source Tools'!C:C, MATCH(B51, 'Open Source Tools'!E:E, 0))</f>
        <v>Energy Management and Monitoring Tools</v>
      </c>
      <c r="D51" t="str">
        <f>VLOOKUP(B51,'TRL Metrics Score'!$B$5:$C$208, 2,FALSE)</f>
        <v>Energy Analytics Platforms</v>
      </c>
      <c r="E51" s="203">
        <f>VLOOKUP($B51,'TRL Metrics Score'!$B$5:$AC$208,9,FALSE)</f>
        <v>4</v>
      </c>
      <c r="F51" s="203">
        <f>VLOOKUP($B51,'TRL Metrics Score'!$B$5:$AC$208,14,FALSE)</f>
        <v>4.1111111111111107</v>
      </c>
      <c r="G51" s="203">
        <f>VLOOKUP($B51,'TRL Metrics Score'!$B$5:$AC$208,21,FALSE)</f>
        <v>4.333333333333333</v>
      </c>
      <c r="H51" s="203">
        <f>VLOOKUP($B51,'TRL Metrics Score'!$B$5:$AC$208,26,FALSE)</f>
        <v>4.75</v>
      </c>
      <c r="I51" s="203">
        <f>VLOOKUP($B51,'TRL Metrics Score'!$B$5:$AC$208,27,FALSE)</f>
        <v>4.447222222222222</v>
      </c>
      <c r="J51" s="299" cm="1">
        <f t="array" ref="J51">+_xlfn.IFS(
  AND(I51&gt;=1, I51&lt;1.5), 1,
  AND(I51&gt;=1.5, I51&lt;2), 2,
  AND(I51&gt;=2, I51&lt;2.3), 3,
  AND(I51&gt;=2.3, I51&lt;2.6), 4,
  AND(I51&gt;=2.6, I51&lt;3), 5,
  AND(I51&gt;=3, I51&lt;3.5), 6,
  AND(I51&gt;=3.5, I51&lt;4), 7,
  AND(I51&gt;=4, I51&lt;=4.499), 8,
  AND(I51&gt;=4.5, I51&lt;=5), 9
)</f>
        <v>8</v>
      </c>
      <c r="N51" s="535"/>
      <c r="O51" s="375">
        <v>13</v>
      </c>
      <c r="P51" s="336" t="s">
        <v>1447</v>
      </c>
      <c r="Q51" s="326" t="s">
        <v>3247</v>
      </c>
      <c r="R51" s="177">
        <v>8</v>
      </c>
      <c r="S51" s="175">
        <v>4.5</v>
      </c>
      <c r="T51" s="170">
        <v>4.1111111111111107</v>
      </c>
      <c r="U51" s="170">
        <v>4.416666666666667</v>
      </c>
      <c r="V51" s="170">
        <v>4.666666666666667</v>
      </c>
      <c r="W51" s="538"/>
    </row>
    <row r="52" spans="1:23" ht="16" x14ac:dyDescent="0.35">
      <c r="A52" s="102">
        <f>_xlfn.XLOOKUP(B52, 'Open Source Tools'!$E$3:$E$208, 'Open Source Tools'!$A$3:$A$208, "Not found")</f>
        <v>78</v>
      </c>
      <c r="B52" s="9" t="s">
        <v>1471</v>
      </c>
      <c r="C52" t="str">
        <f>INDEX('Open Source Tools'!C:C, MATCH(B52, 'Open Source Tools'!E:E, 0))</f>
        <v>Data Analytics and Visualization Tools</v>
      </c>
      <c r="D52" t="str">
        <f>VLOOKUP(B52,'TRL Metrics Score'!$B$5:$C$208, 2,FALSE)</f>
        <v>Data Visualization Tools</v>
      </c>
      <c r="E52" s="203">
        <f>VLOOKUP($B52,'TRL Metrics Score'!$B$5:$AC$208,9,FALSE)</f>
        <v>4.333333333333333</v>
      </c>
      <c r="F52" s="203">
        <f>VLOOKUP($B52,'TRL Metrics Score'!$B$5:$AC$208,14,FALSE)</f>
        <v>4.5555555555555554</v>
      </c>
      <c r="G52" s="203">
        <f>VLOOKUP($B52,'TRL Metrics Score'!$B$5:$AC$208,21,FALSE)</f>
        <v>4.416666666666667</v>
      </c>
      <c r="H52" s="203">
        <f>VLOOKUP($B52,'TRL Metrics Score'!$B$5:$AC$208,26,FALSE)</f>
        <v>4.416666666666667</v>
      </c>
      <c r="I52" s="203">
        <f>VLOOKUP($B52,'TRL Metrics Score'!$B$5:$AC$208,27,FALSE)</f>
        <v>4.4319444444444445</v>
      </c>
      <c r="J52" s="299" cm="1">
        <f t="array" ref="J52">+_xlfn.IFS(
  AND(I52&gt;=1, I52&lt;1.5), 1,
  AND(I52&gt;=1.5, I52&lt;2), 2,
  AND(I52&gt;=2, I52&lt;2.3), 3,
  AND(I52&gt;=2.3, I52&lt;2.6), 4,
  AND(I52&gt;=2.6, I52&lt;3), 5,
  AND(I52&gt;=3, I52&lt;3.5), 6,
  AND(I52&gt;=3.5, I52&lt;4), 7,
  AND(I52&gt;=4, I52&lt;=4.499), 8,
  AND(I52&gt;=4.5, I52&lt;=5), 9
)</f>
        <v>8</v>
      </c>
      <c r="N52" s="535"/>
      <c r="O52" s="375">
        <v>14</v>
      </c>
      <c r="P52" s="336" t="s">
        <v>2257</v>
      </c>
      <c r="Q52" s="326" t="s">
        <v>140</v>
      </c>
      <c r="R52" s="177">
        <v>8</v>
      </c>
      <c r="S52" s="175">
        <v>4</v>
      </c>
      <c r="T52" s="170">
        <v>4.1111111111111107</v>
      </c>
      <c r="U52" s="170">
        <v>4.333333333333333</v>
      </c>
      <c r="V52" s="170">
        <v>4.75</v>
      </c>
      <c r="W52" s="538"/>
    </row>
    <row r="53" spans="1:23" ht="16" x14ac:dyDescent="0.35">
      <c r="A53" s="102">
        <f>_xlfn.XLOOKUP(B53, 'Open Source Tools'!$E$3:$E$208, 'Open Source Tools'!$A$3:$A$208, "Not found")</f>
        <v>99</v>
      </c>
      <c r="B53" s="9" t="s">
        <v>1725</v>
      </c>
      <c r="C53" t="str">
        <f>INDEX('Open Source Tools'!C:C, MATCH(B53, 'Open Source Tools'!E:E, 0))</f>
        <v>Modelling and Simulation</v>
      </c>
      <c r="D53" t="str">
        <f>VLOOKUP(B53,'TRL Metrics Score'!$B$5:$C$208, 2,FALSE)</f>
        <v>Community level Modelling</v>
      </c>
      <c r="E53" s="203">
        <f>VLOOKUP($B53,'TRL Metrics Score'!$B$5:$AC$208,9,FALSE)</f>
        <v>3.5833333333333335</v>
      </c>
      <c r="F53" s="203">
        <f>VLOOKUP($B53,'TRL Metrics Score'!$B$5:$AC$208,14,FALSE)</f>
        <v>4.7777777777777777</v>
      </c>
      <c r="G53" s="203">
        <f>VLOOKUP($B53,'TRL Metrics Score'!$B$5:$AC$208,21,FALSE)</f>
        <v>4</v>
      </c>
      <c r="H53" s="203">
        <f>VLOOKUP($B53,'TRL Metrics Score'!$B$5:$AC$208,26,FALSE)</f>
        <v>4.666666666666667</v>
      </c>
      <c r="I53" s="203">
        <f>VLOOKUP($B53,'TRL Metrics Score'!$B$5:$AC$208,27,FALSE)</f>
        <v>4.4263888888888889</v>
      </c>
      <c r="J53" s="299" cm="1">
        <f t="array" ref="J53">+_xlfn.IFS(
  AND(I53&gt;=1, I53&lt;1.5), 1,
  AND(I53&gt;=1.5, I53&lt;2), 2,
  AND(I53&gt;=2, I53&lt;2.3), 3,
  AND(I53&gt;=2.3, I53&lt;2.6), 4,
  AND(I53&gt;=2.6, I53&lt;3), 5,
  AND(I53&gt;=3, I53&lt;3.5), 6,
  AND(I53&gt;=3.5, I53&lt;4), 7,
  AND(I53&gt;=4, I53&lt;=4.499), 8,
  AND(I53&gt;=4.5, I53&lt;=5), 9
)</f>
        <v>8</v>
      </c>
      <c r="N53" s="535"/>
      <c r="O53" s="375">
        <v>15</v>
      </c>
      <c r="P53" s="336" t="s">
        <v>1471</v>
      </c>
      <c r="Q53" s="326" t="s">
        <v>3247</v>
      </c>
      <c r="R53" s="177">
        <v>8</v>
      </c>
      <c r="S53" s="175">
        <v>4.333333333333333</v>
      </c>
      <c r="T53" s="170">
        <v>4.5555555555555554</v>
      </c>
      <c r="U53" s="170">
        <v>4.416666666666667</v>
      </c>
      <c r="V53" s="170">
        <v>4.416666666666667</v>
      </c>
      <c r="W53" s="538"/>
    </row>
    <row r="54" spans="1:23" ht="16" x14ac:dyDescent="0.35">
      <c r="A54" s="102">
        <f>_xlfn.XLOOKUP(B54, 'Open Source Tools'!$E$3:$E$208, 'Open Source Tools'!$A$3:$A$208, "Not found")</f>
        <v>32</v>
      </c>
      <c r="B54" s="9" t="s">
        <v>904</v>
      </c>
      <c r="C54" t="str">
        <f>INDEX('Open Source Tools'!C:C, MATCH(B54, 'Open Source Tools'!E:E, 0))</f>
        <v>Maintenance and Safety Tools</v>
      </c>
      <c r="D54" t="str">
        <f>VLOOKUP(B54,'TRL Metrics Score'!$B$5:$C$208, 2,FALSE)</f>
        <v>Remote Monitoring Tools</v>
      </c>
      <c r="E54" s="203">
        <f>VLOOKUP($B54,'TRL Metrics Score'!$B$5:$AC$208,9,FALSE)</f>
        <v>3.5</v>
      </c>
      <c r="F54" s="203">
        <f>VLOOKUP($B54,'TRL Metrics Score'!$B$5:$AC$208,14,FALSE)</f>
        <v>5</v>
      </c>
      <c r="G54" s="203">
        <f>VLOOKUP($B54,'TRL Metrics Score'!$B$5:$AC$208,21,FALSE)</f>
        <v>3.1666666666666665</v>
      </c>
      <c r="H54" s="203">
        <f>VLOOKUP($B54,'TRL Metrics Score'!$B$5:$AC$208,26,FALSE)</f>
        <v>4.833333333333333</v>
      </c>
      <c r="I54" s="203">
        <f>VLOOKUP($B54,'TRL Metrics Score'!$B$5:$AC$208,27,FALSE)</f>
        <v>4.4166666666666661</v>
      </c>
      <c r="J54" s="299" cm="1">
        <f t="array" ref="J54">+_xlfn.IFS(
  AND(I54&gt;=1, I54&lt;1.5), 1,
  AND(I54&gt;=1.5, I54&lt;2), 2,
  AND(I54&gt;=2, I54&lt;2.3), 3,
  AND(I54&gt;=2.3, I54&lt;2.6), 4,
  AND(I54&gt;=2.6, I54&lt;3), 5,
  AND(I54&gt;=3, I54&lt;3.5), 6,
  AND(I54&gt;=3.5, I54&lt;4), 7,
  AND(I54&gt;=4, I54&lt;=4.499), 8,
  AND(I54&gt;=4.5, I54&lt;=5), 9
)</f>
        <v>8</v>
      </c>
      <c r="N54" s="535"/>
      <c r="O54" s="375">
        <v>16</v>
      </c>
      <c r="P54" s="336" t="s">
        <v>1725</v>
      </c>
      <c r="Q54" s="326" t="s">
        <v>441</v>
      </c>
      <c r="R54" s="177">
        <v>8</v>
      </c>
      <c r="S54" s="175">
        <v>3.5833333333333335</v>
      </c>
      <c r="T54" s="170">
        <v>4.7777777777777777</v>
      </c>
      <c r="U54" s="170">
        <v>4</v>
      </c>
      <c r="V54" s="170">
        <v>4.666666666666667</v>
      </c>
      <c r="W54" s="538"/>
    </row>
    <row r="55" spans="1:23" ht="16" x14ac:dyDescent="0.35">
      <c r="A55" s="102">
        <f>_xlfn.XLOOKUP(B55, 'Open Source Tools'!$E$3:$E$208, 'Open Source Tools'!$A$3:$A$208, "Not found")</f>
        <v>85</v>
      </c>
      <c r="B55" s="9" t="s">
        <v>1557</v>
      </c>
      <c r="C55" t="str">
        <f>INDEX('Open Source Tools'!C:C, MATCH(B55, 'Open Source Tools'!E:E, 0))</f>
        <v>Data Analytics and Visualization Tools</v>
      </c>
      <c r="D55" t="str">
        <f>VLOOKUP(B55,'TRL Metrics Score'!$B$5:$C$208, 2,FALSE)</f>
        <v>Time-Series Data Analysis Tools</v>
      </c>
      <c r="E55" s="203">
        <f>VLOOKUP($B55,'TRL Metrics Score'!$B$5:$AC$208,9,FALSE)</f>
        <v>3.75</v>
      </c>
      <c r="F55" s="203">
        <f>VLOOKUP($B55,'TRL Metrics Score'!$B$5:$AC$208,14,FALSE)</f>
        <v>4.5555555555555554</v>
      </c>
      <c r="G55" s="203">
        <f>VLOOKUP($B55,'TRL Metrics Score'!$B$5:$AC$208,21,FALSE)</f>
        <v>4.25</v>
      </c>
      <c r="H55" s="203">
        <f>VLOOKUP($B55,'TRL Metrics Score'!$B$5:$AC$208,26,FALSE)</f>
        <v>4.583333333333333</v>
      </c>
      <c r="I55" s="203">
        <f>VLOOKUP($B55,'TRL Metrics Score'!$B$5:$AC$208,27,FALSE)</f>
        <v>4.4027777777777768</v>
      </c>
      <c r="J55" s="299" cm="1">
        <f t="array" ref="J55">+_xlfn.IFS(
  AND(I55&gt;=1, I55&lt;1.5), 1,
  AND(I55&gt;=1.5, I55&lt;2), 2,
  AND(I55&gt;=2, I55&lt;2.3), 3,
  AND(I55&gt;=2.3, I55&lt;2.6), 4,
  AND(I55&gt;=2.6, I55&lt;3), 5,
  AND(I55&gt;=3, I55&lt;3.5), 6,
  AND(I55&gt;=3.5, I55&lt;4), 7,
  AND(I55&gt;=4, I55&lt;=4.499), 8,
  AND(I55&gt;=4.5, I55&lt;=5), 9
)</f>
        <v>8</v>
      </c>
      <c r="N55" s="535"/>
      <c r="O55" s="375">
        <v>17</v>
      </c>
      <c r="P55" s="336" t="s">
        <v>904</v>
      </c>
      <c r="Q55" s="326" t="s">
        <v>239</v>
      </c>
      <c r="R55" s="177">
        <v>8</v>
      </c>
      <c r="S55" s="175">
        <v>3.5</v>
      </c>
      <c r="T55" s="170">
        <v>5</v>
      </c>
      <c r="U55" s="170">
        <v>3.1666666666666665</v>
      </c>
      <c r="V55" s="170">
        <v>4.833333333333333</v>
      </c>
      <c r="W55" s="538"/>
    </row>
    <row r="56" spans="1:23" ht="16" x14ac:dyDescent="0.35">
      <c r="A56" s="102">
        <f>_xlfn.XLOOKUP(B56, 'Open Source Tools'!$E$3:$E$208, 'Open Source Tools'!$A$3:$A$208, "Not found")</f>
        <v>64</v>
      </c>
      <c r="B56" s="9" t="s">
        <v>1304</v>
      </c>
      <c r="C56" t="str">
        <f>INDEX('Open Source Tools'!C:C, MATCH(B56, 'Open Source Tools'!E:E, 0))</f>
        <v>Data Analytics and Visualization Tools</v>
      </c>
      <c r="D56" t="str">
        <f>VLOOKUP(B56,'TRL Metrics Score'!$B$5:$C$208, 2,FALSE)</f>
        <v>Big Data Platforms</v>
      </c>
      <c r="E56" s="203">
        <f>VLOOKUP($B56,'TRL Metrics Score'!$B$5:$AC$208,9,FALSE)</f>
        <v>4.75</v>
      </c>
      <c r="F56" s="203">
        <f>VLOOKUP($B56,'TRL Metrics Score'!$B$5:$AC$208,14,FALSE)</f>
        <v>4.333333333333333</v>
      </c>
      <c r="G56" s="203">
        <f>VLOOKUP($B56,'TRL Metrics Score'!$B$5:$AC$208,21,FALSE)</f>
        <v>3.5</v>
      </c>
      <c r="H56" s="203">
        <f>VLOOKUP($B56,'TRL Metrics Score'!$B$5:$AC$208,26,FALSE)</f>
        <v>4.583333333333333</v>
      </c>
      <c r="I56" s="203">
        <f>VLOOKUP($B56,'TRL Metrics Score'!$B$5:$AC$208,27,FALSE)</f>
        <v>4.395833333333333</v>
      </c>
      <c r="J56" s="299" cm="1">
        <f t="array" ref="J56">+_xlfn.IFS(
  AND(I56&gt;=1, I56&lt;1.5), 1,
  AND(I56&gt;=1.5, I56&lt;2), 2,
  AND(I56&gt;=2, I56&lt;2.3), 3,
  AND(I56&gt;=2.3, I56&lt;2.6), 4,
  AND(I56&gt;=2.6, I56&lt;3), 5,
  AND(I56&gt;=3, I56&lt;3.5), 6,
  AND(I56&gt;=3.5, I56&lt;4), 7,
  AND(I56&gt;=4, I56&lt;=4.499), 8,
  AND(I56&gt;=4.5, I56&lt;=5), 9
)</f>
        <v>8</v>
      </c>
      <c r="N56" s="535"/>
      <c r="O56" s="375">
        <v>18</v>
      </c>
      <c r="P56" s="336" t="s">
        <v>1557</v>
      </c>
      <c r="Q56" s="326" t="s">
        <v>332</v>
      </c>
      <c r="R56" s="177">
        <v>8</v>
      </c>
      <c r="S56" s="175">
        <v>3.75</v>
      </c>
      <c r="T56" s="170">
        <v>4.5555555555555554</v>
      </c>
      <c r="U56" s="170">
        <v>4.25</v>
      </c>
      <c r="V56" s="170">
        <v>4.583333333333333</v>
      </c>
      <c r="W56" s="538"/>
    </row>
    <row r="57" spans="1:23" ht="16" x14ac:dyDescent="0.35">
      <c r="A57" s="102">
        <f>_xlfn.XLOOKUP(B57, 'Open Source Tools'!$E$3:$E$208, 'Open Source Tools'!$A$3:$A$208, "Not found")</f>
        <v>200</v>
      </c>
      <c r="B57" s="9" t="s">
        <v>1891</v>
      </c>
      <c r="C57" t="str">
        <f>INDEX('Open Source Tools'!C:C, MATCH(B57, 'Open Source Tools'!E:E, 0))</f>
        <v>Integration with Electric Vehicles (EVs)</v>
      </c>
      <c r="D57" t="str">
        <f>VLOOKUP(B57,'TRL Metrics Score'!$B$5:$C$208, 2,FALSE)</f>
        <v>Smart Charging Algorithms</v>
      </c>
      <c r="E57" s="203">
        <f>VLOOKUP($B57,'TRL Metrics Score'!$B$5:$AC$208,9,FALSE)</f>
        <v>3.9166666666666665</v>
      </c>
      <c r="F57" s="203">
        <f>VLOOKUP($B57,'TRL Metrics Score'!$B$5:$AC$208,14,FALSE)</f>
        <v>4.333333333333333</v>
      </c>
      <c r="G57" s="203">
        <f>VLOOKUP($B57,'TRL Metrics Score'!$B$5:$AC$208,21,FALSE)</f>
        <v>4.583333333333333</v>
      </c>
      <c r="H57" s="203">
        <f>VLOOKUP($B57,'TRL Metrics Score'!$B$5:$AC$208,26,FALSE)</f>
        <v>4.5</v>
      </c>
      <c r="I57" s="203">
        <f>VLOOKUP($B57,'TRL Metrics Score'!$B$5:$AC$208,27,FALSE)</f>
        <v>4.3916666666666666</v>
      </c>
      <c r="J57" s="299" cm="1">
        <f t="array" ref="J57">+_xlfn.IFS(
  AND(I57&gt;=1, I57&lt;1.5), 1,
  AND(I57&gt;=1.5, I57&lt;2), 2,
  AND(I57&gt;=2, I57&lt;2.3), 3,
  AND(I57&gt;=2.3, I57&lt;2.6), 4,
  AND(I57&gt;=2.6, I57&lt;3), 5,
  AND(I57&gt;=3, I57&lt;3.5), 6,
  AND(I57&gt;=3.5, I57&lt;4), 7,
  AND(I57&gt;=4, I57&lt;=4.499), 8,
  AND(I57&gt;=4.5, I57&lt;=5), 9
)</f>
        <v>8</v>
      </c>
      <c r="N57" s="535"/>
      <c r="O57" s="375">
        <v>19</v>
      </c>
      <c r="P57" s="336" t="s">
        <v>1304</v>
      </c>
      <c r="Q57" s="326" t="s">
        <v>321</v>
      </c>
      <c r="R57" s="177">
        <v>8</v>
      </c>
      <c r="S57" s="175">
        <v>4.75</v>
      </c>
      <c r="T57" s="170">
        <v>4.333333333333333</v>
      </c>
      <c r="U57" s="170">
        <v>3.5</v>
      </c>
      <c r="V57" s="170">
        <v>4.583333333333333</v>
      </c>
      <c r="W57" s="538"/>
    </row>
    <row r="58" spans="1:23" ht="16" x14ac:dyDescent="0.35">
      <c r="A58" s="102">
        <f>_xlfn.XLOOKUP(B58, 'Open Source Tools'!$E$3:$E$208, 'Open Source Tools'!$A$3:$A$208, "Not found")</f>
        <v>17</v>
      </c>
      <c r="B58" s="9" t="s">
        <v>700</v>
      </c>
      <c r="C58" t="str">
        <f>INDEX('Open Source Tools'!C:C, MATCH(B58, 'Open Source Tools'!E:E, 0))</f>
        <v>Communication and Collaboration Tools</v>
      </c>
      <c r="D58" t="str">
        <f>VLOOKUP(B58,'TRL Metrics Score'!$B$5:$C$208, 2,FALSE)</f>
        <v>Community Platforms</v>
      </c>
      <c r="E58" s="203">
        <f>VLOOKUP($B58,'TRL Metrics Score'!$B$5:$AC$208,9,FALSE)</f>
        <v>3.9166666666666665</v>
      </c>
      <c r="F58" s="203">
        <f>VLOOKUP($B58,'TRL Metrics Score'!$B$5:$AC$208,14,FALSE)</f>
        <v>4.333333333333333</v>
      </c>
      <c r="G58" s="203">
        <f>VLOOKUP($B58,'TRL Metrics Score'!$B$5:$AC$208,21,FALSE)</f>
        <v>4</v>
      </c>
      <c r="H58" s="203">
        <f>VLOOKUP($B58,'TRL Metrics Score'!$B$5:$AC$208,26,FALSE)</f>
        <v>4.666666666666667</v>
      </c>
      <c r="I58" s="203">
        <f>VLOOKUP($B58,'TRL Metrics Score'!$B$5:$AC$208,27,FALSE)</f>
        <v>4.3875000000000002</v>
      </c>
      <c r="J58" s="299" cm="1">
        <f t="array" ref="J58">+_xlfn.IFS(
  AND(I58&gt;=1, I58&lt;1.5), 1,
  AND(I58&gt;=1.5, I58&lt;2), 2,
  AND(I58&gt;=2, I58&lt;2.3), 3,
  AND(I58&gt;=2.3, I58&lt;2.6), 4,
  AND(I58&gt;=2.6, I58&lt;3), 5,
  AND(I58&gt;=3, I58&lt;3.5), 6,
  AND(I58&gt;=3.5, I58&lt;4), 7,
  AND(I58&gt;=4, I58&lt;=4.499), 8,
  AND(I58&gt;=4.5, I58&lt;=5), 9
)</f>
        <v>8</v>
      </c>
      <c r="N58" s="535"/>
      <c r="O58" s="375">
        <v>20</v>
      </c>
      <c r="P58" s="336" t="s">
        <v>1891</v>
      </c>
      <c r="Q58" s="326" t="s">
        <v>255</v>
      </c>
      <c r="R58" s="177">
        <v>8</v>
      </c>
      <c r="S58" s="175">
        <v>3.9166666666666665</v>
      </c>
      <c r="T58" s="170">
        <v>4.333333333333333</v>
      </c>
      <c r="U58" s="170">
        <v>4.583333333333333</v>
      </c>
      <c r="V58" s="170">
        <v>4.5</v>
      </c>
      <c r="W58" s="538"/>
    </row>
    <row r="59" spans="1:23" ht="16" x14ac:dyDescent="0.4">
      <c r="A59" s="102">
        <f>_xlfn.XLOOKUP(B59, 'Open Source Tools'!$E$3:$E$208, 'Open Source Tools'!$A$3:$A$208, "Not found")</f>
        <v>75</v>
      </c>
      <c r="B59" s="151" t="s">
        <v>1437</v>
      </c>
      <c r="C59" t="str">
        <f>INDEX('Open Source Tools'!C:C, MATCH(B59, 'Open Source Tools'!E:E, 0))</f>
        <v>Data Analytics and Visualization Tools</v>
      </c>
      <c r="D59" t="str">
        <f>VLOOKUP(B59,'TRL Metrics Score'!$B$5:$C$208, 2,FALSE)</f>
        <v>Data Visualization Tools</v>
      </c>
      <c r="E59" s="203">
        <f>VLOOKUP($B59,'TRL Metrics Score'!$B$5:$AC$208,9,FALSE)</f>
        <v>4.75</v>
      </c>
      <c r="F59" s="203">
        <f>VLOOKUP($B59,'TRL Metrics Score'!$B$5:$AC$208,14,FALSE)</f>
        <v>4.333333333333333</v>
      </c>
      <c r="G59" s="203">
        <f>VLOOKUP($B59,'TRL Metrics Score'!$B$5:$AC$208,21,FALSE)</f>
        <v>4.833333333333333</v>
      </c>
      <c r="H59" s="203">
        <f>VLOOKUP($B59,'TRL Metrics Score'!$B$5:$AC$208,26,FALSE)</f>
        <v>4.166666666666667</v>
      </c>
      <c r="I59" s="203">
        <f>VLOOKUP($B59,'TRL Metrics Score'!$B$5:$AC$208,27,FALSE)</f>
        <v>4.3875000000000002</v>
      </c>
      <c r="J59" s="299" cm="1">
        <f t="array" ref="J59">+_xlfn.IFS(
  AND(I59&gt;=1, I59&lt;1.5), 1,
  AND(I59&gt;=1.5, I59&lt;2), 2,
  AND(I59&gt;=2, I59&lt;2.3), 3,
  AND(I59&gt;=2.3, I59&lt;2.6), 4,
  AND(I59&gt;=2.6, I59&lt;3), 5,
  AND(I59&gt;=3, I59&lt;3.5), 6,
  AND(I59&gt;=3.5, I59&lt;4), 7,
  AND(I59&gt;=4, I59&lt;=4.499), 8,
  AND(I59&gt;=4.5, I59&lt;=5), 9
)</f>
        <v>8</v>
      </c>
      <c r="N59" s="535"/>
      <c r="O59" s="375">
        <v>21</v>
      </c>
      <c r="P59" s="336" t="s">
        <v>700</v>
      </c>
      <c r="Q59" s="326" t="s">
        <v>183</v>
      </c>
      <c r="R59" s="177">
        <v>8</v>
      </c>
      <c r="S59" s="175">
        <v>3.9166666666666665</v>
      </c>
      <c r="T59" s="170">
        <v>4.333333333333333</v>
      </c>
      <c r="U59" s="170">
        <v>4</v>
      </c>
      <c r="V59" s="170">
        <v>4.666666666666667</v>
      </c>
      <c r="W59" s="538"/>
    </row>
    <row r="60" spans="1:23" ht="16" x14ac:dyDescent="0.4">
      <c r="A60" s="102">
        <f>_xlfn.XLOOKUP(B60, 'Open Source Tools'!$E$3:$E$208, 'Open Source Tools'!$A$3:$A$208, "Not found")</f>
        <v>46</v>
      </c>
      <c r="B60" s="9" t="s">
        <v>1089</v>
      </c>
      <c r="C60" t="str">
        <f>INDEX('Open Source Tools'!C:C, MATCH(B60, 'Open Source Tools'!E:E, 0))</f>
        <v>Maintenance and Safety Tools</v>
      </c>
      <c r="D60" t="str">
        <f>VLOOKUP(B60,'TRL Metrics Score'!$B$5:$C$208, 2,FALSE)</f>
        <v>Cybersecurity Tools for Energy Systems</v>
      </c>
      <c r="E60" s="203">
        <f>VLOOKUP($B60,'TRL Metrics Score'!$B$5:$AC$208,9,FALSE)</f>
        <v>3.9166666666666665</v>
      </c>
      <c r="F60" s="203">
        <f>VLOOKUP($B60,'TRL Metrics Score'!$B$5:$AC$208,14,FALSE)</f>
        <v>4.1111111111111107</v>
      </c>
      <c r="G60" s="203">
        <f>VLOOKUP($B60,'TRL Metrics Score'!$B$5:$AC$208,21,FALSE)</f>
        <v>4.166666666666667</v>
      </c>
      <c r="H60" s="203">
        <f>VLOOKUP($B60,'TRL Metrics Score'!$B$5:$AC$208,26,FALSE)</f>
        <v>4.666666666666667</v>
      </c>
      <c r="I60" s="203">
        <f>VLOOKUP($B60,'TRL Metrics Score'!$B$5:$AC$208,27,FALSE)</f>
        <v>4.3680555555555554</v>
      </c>
      <c r="J60" s="299" cm="1">
        <f t="array" ref="J60">+_xlfn.IFS(
  AND(I60&gt;=1, I60&lt;1.5), 1,
  AND(I60&gt;=1.5, I60&lt;2), 2,
  AND(I60&gt;=2, I60&lt;2.3), 3,
  AND(I60&gt;=2.3, I60&lt;2.6), 4,
  AND(I60&gt;=2.6, I60&lt;3), 5,
  AND(I60&gt;=3, I60&lt;3.5), 6,
  AND(I60&gt;=3.5, I60&lt;4), 7,
  AND(I60&gt;=4, I60&lt;=4.499), 8,
  AND(I60&gt;=4.5, I60&lt;=5), 9
)</f>
        <v>8</v>
      </c>
      <c r="N60" s="535"/>
      <c r="O60" s="375">
        <v>22</v>
      </c>
      <c r="P60" s="376" t="s">
        <v>1437</v>
      </c>
      <c r="Q60" s="326" t="s">
        <v>3247</v>
      </c>
      <c r="R60" s="177">
        <v>8</v>
      </c>
      <c r="S60" s="175">
        <v>4.75</v>
      </c>
      <c r="T60" s="170">
        <v>4.333333333333333</v>
      </c>
      <c r="U60" s="170">
        <v>4.833333333333333</v>
      </c>
      <c r="V60" s="170">
        <v>4.166666666666667</v>
      </c>
      <c r="W60" s="538"/>
    </row>
    <row r="61" spans="1:23" ht="16" x14ac:dyDescent="0.35">
      <c r="A61" s="102">
        <f>_xlfn.XLOOKUP(B61, 'Open Source Tools'!$E$3:$E$208, 'Open Source Tools'!$A$3:$A$208, "Not found")</f>
        <v>148</v>
      </c>
      <c r="B61" s="9" t="s">
        <v>2431</v>
      </c>
      <c r="C61" t="str">
        <f>INDEX('Open Source Tools'!C:C, MATCH(B61, 'Open Source Tools'!E:E, 0))</f>
        <v>Modelling and Simulation</v>
      </c>
      <c r="D61" t="str">
        <f>VLOOKUP(B61,'TRL Metrics Score'!$B$5:$C$208, 2,FALSE)</f>
        <v>Community level Modelling</v>
      </c>
      <c r="E61" s="203">
        <f>VLOOKUP($B61,'TRL Metrics Score'!$B$5:$AC$208,9,FALSE)</f>
        <v>3.4166666666666665</v>
      </c>
      <c r="F61" s="203">
        <f>VLOOKUP($B61,'TRL Metrics Score'!$B$5:$AC$208,14,FALSE)</f>
        <v>3.4444444444444446</v>
      </c>
      <c r="G61" s="203">
        <f>VLOOKUP($B61,'TRL Metrics Score'!$B$5:$AC$208,21,FALSE)</f>
        <v>4.666666666666667</v>
      </c>
      <c r="H61" s="203">
        <f>VLOOKUP($B61,'TRL Metrics Score'!$B$5:$AC$208,26,FALSE)</f>
        <v>4.916666666666667</v>
      </c>
      <c r="I61" s="203">
        <f>VLOOKUP($B61,'TRL Metrics Score'!$B$5:$AC$208,27,FALSE)</f>
        <v>4.3597222222222225</v>
      </c>
      <c r="J61" s="299" cm="1">
        <f t="array" ref="J61">+_xlfn.IFS(
  AND(I61&gt;=1, I61&lt;1.5), 1,
  AND(I61&gt;=1.5, I61&lt;2), 2,
  AND(I61&gt;=2, I61&lt;2.3), 3,
  AND(I61&gt;=2.3, I61&lt;2.6), 4,
  AND(I61&gt;=2.6, I61&lt;3), 5,
  AND(I61&gt;=3, I61&lt;3.5), 6,
  AND(I61&gt;=3.5, I61&lt;4), 7,
  AND(I61&gt;=4, I61&lt;=4.499), 8,
  AND(I61&gt;=4.5, I61&lt;=5), 9
)</f>
        <v>8</v>
      </c>
      <c r="N61" s="535"/>
      <c r="O61" s="375">
        <v>23</v>
      </c>
      <c r="P61" s="336" t="s">
        <v>1089</v>
      </c>
      <c r="Q61" s="326" t="s">
        <v>244</v>
      </c>
      <c r="R61" s="177">
        <v>8</v>
      </c>
      <c r="S61" s="175">
        <v>3.9166666666666665</v>
      </c>
      <c r="T61" s="170">
        <v>4.1111111111111107</v>
      </c>
      <c r="U61" s="170">
        <v>4.166666666666667</v>
      </c>
      <c r="V61" s="170">
        <v>4.666666666666667</v>
      </c>
      <c r="W61" s="538"/>
    </row>
    <row r="62" spans="1:23" ht="16" x14ac:dyDescent="0.35">
      <c r="A62" s="102">
        <f>_xlfn.XLOOKUP(B62, 'Open Source Tools'!$E$3:$E$208, 'Open Source Tools'!$A$3:$A$208, "Not found")</f>
        <v>174</v>
      </c>
      <c r="B62" s="9" t="s">
        <v>2764</v>
      </c>
      <c r="C62" t="str">
        <f>INDEX('Open Source Tools'!C:C, MATCH(B62, 'Open Source Tools'!E:E, 0))</f>
        <v>Modelling and Simulation</v>
      </c>
      <c r="D62" t="str">
        <f>VLOOKUP(B62,'TRL Metrics Score'!$B$5:$C$208, 2,FALSE)</f>
        <v>Collaborative Decision-Making Platforms</v>
      </c>
      <c r="E62" s="203">
        <f>VLOOKUP($B62,'TRL Metrics Score'!$B$5:$AC$208,9,FALSE)</f>
        <v>3.5833333333333335</v>
      </c>
      <c r="F62" s="203">
        <f>VLOOKUP($B62,'TRL Metrics Score'!$B$5:$AC$208,14,FALSE)</f>
        <v>4.1111111111111107</v>
      </c>
      <c r="G62" s="203">
        <f>VLOOKUP($B62,'TRL Metrics Score'!$B$5:$AC$208,21,FALSE)</f>
        <v>4.666666666666667</v>
      </c>
      <c r="H62" s="203">
        <f>VLOOKUP($B62,'TRL Metrics Score'!$B$5:$AC$208,26,FALSE)</f>
        <v>4.583333333333333</v>
      </c>
      <c r="I62" s="203">
        <f>VLOOKUP($B62,'TRL Metrics Score'!$B$5:$AC$208,27,FALSE)</f>
        <v>4.3513888888888888</v>
      </c>
      <c r="J62" s="299" cm="1">
        <f t="array" ref="J62">+_xlfn.IFS(
  AND(I62&gt;=1, I62&lt;1.5), 1,
  AND(I62&gt;=1.5, I62&lt;2), 2,
  AND(I62&gt;=2, I62&lt;2.3), 3,
  AND(I62&gt;=2.3, I62&lt;2.6), 4,
  AND(I62&gt;=2.6, I62&lt;3), 5,
  AND(I62&gt;=3, I62&lt;3.5), 6,
  AND(I62&gt;=3.5, I62&lt;4), 7,
  AND(I62&gt;=4, I62&lt;=4.499), 8,
  AND(I62&gt;=4.5, I62&lt;=5), 9
)</f>
        <v>8</v>
      </c>
      <c r="N62" s="535"/>
      <c r="O62" s="375">
        <v>24</v>
      </c>
      <c r="P62" s="336" t="s">
        <v>2431</v>
      </c>
      <c r="Q62" s="326" t="s">
        <v>441</v>
      </c>
      <c r="R62" s="177">
        <v>8</v>
      </c>
      <c r="S62" s="175">
        <v>3.4166666666666665</v>
      </c>
      <c r="T62" s="170">
        <v>3.4444444444444446</v>
      </c>
      <c r="U62" s="170">
        <v>4.666666666666667</v>
      </c>
      <c r="V62" s="170">
        <v>4.916666666666667</v>
      </c>
      <c r="W62" s="538"/>
    </row>
    <row r="63" spans="1:23" ht="16" x14ac:dyDescent="0.35">
      <c r="A63" s="102">
        <f>_xlfn.XLOOKUP(B63, 'Open Source Tools'!$E$3:$E$208, 'Open Source Tools'!$A$3:$A$208, "Not found")</f>
        <v>182</v>
      </c>
      <c r="B63" s="9" t="s">
        <v>2861</v>
      </c>
      <c r="C63" t="str">
        <f>INDEX('Open Source Tools'!C:C, MATCH(B63, 'Open Source Tools'!E:E, 0))</f>
        <v xml:space="preserve">Settlement and Billing </v>
      </c>
      <c r="D63" t="str">
        <f>VLOOKUP(B63,'TRL Metrics Score'!$B$5:$C$208, 2,FALSE)</f>
        <v>Automated Billing Platforms (Dynamic pricing Billing systems)</v>
      </c>
      <c r="E63" s="203">
        <f>VLOOKUP($B63,'TRL Metrics Score'!$B$5:$AC$208,9,FALSE)</f>
        <v>4.5</v>
      </c>
      <c r="F63" s="203">
        <f>VLOOKUP($B63,'TRL Metrics Score'!$B$5:$AC$208,14,FALSE)</f>
        <v>4.333333333333333</v>
      </c>
      <c r="G63" s="203">
        <f>VLOOKUP($B63,'TRL Metrics Score'!$B$5:$AC$208,21,FALSE)</f>
        <v>4</v>
      </c>
      <c r="H63" s="203">
        <f>VLOOKUP($B63,'TRL Metrics Score'!$B$5:$AC$208,26,FALSE)</f>
        <v>4.416666666666667</v>
      </c>
      <c r="I63" s="203">
        <f>VLOOKUP($B63,'TRL Metrics Score'!$B$5:$AC$208,27,FALSE)</f>
        <v>4.3499999999999996</v>
      </c>
      <c r="J63" s="299" cm="1">
        <f t="array" ref="J63">+_xlfn.IFS(
  AND(I63&gt;=1, I63&lt;1.5), 1,
  AND(I63&gt;=1.5, I63&lt;2), 2,
  AND(I63&gt;=2, I63&lt;2.3), 3,
  AND(I63&gt;=2.3, I63&lt;2.6), 4,
  AND(I63&gt;=2.6, I63&lt;3), 5,
  AND(I63&gt;=3, I63&lt;3.5), 6,
  AND(I63&gt;=3.5, I63&lt;4), 7,
  AND(I63&gt;=4, I63&lt;=4.499), 8,
  AND(I63&gt;=4.5, I63&lt;=5), 9
)</f>
        <v>8</v>
      </c>
      <c r="N63" s="535"/>
      <c r="O63" s="375">
        <v>25</v>
      </c>
      <c r="P63" s="336" t="s">
        <v>2764</v>
      </c>
      <c r="Q63" s="326" t="s">
        <v>453</v>
      </c>
      <c r="R63" s="177">
        <v>8</v>
      </c>
      <c r="S63" s="175">
        <v>3.5833333333333335</v>
      </c>
      <c r="T63" s="170">
        <v>4.1111111111111107</v>
      </c>
      <c r="U63" s="170">
        <v>4.666666666666667</v>
      </c>
      <c r="V63" s="170">
        <v>4.583333333333333</v>
      </c>
      <c r="W63" s="538"/>
    </row>
    <row r="64" spans="1:23" ht="16" x14ac:dyDescent="0.35">
      <c r="A64" s="102">
        <f>_xlfn.XLOOKUP(B64, 'Open Source Tools'!$E$3:$E$208, 'Open Source Tools'!$A$3:$A$208, "Not found")</f>
        <v>23</v>
      </c>
      <c r="B64" s="9" t="s">
        <v>790</v>
      </c>
      <c r="C64" t="str">
        <f>INDEX('Open Source Tools'!C:C, MATCH(B64, 'Open Source Tools'!E:E, 0))</f>
        <v>Communication and Collaboration Tools</v>
      </c>
      <c r="D64" t="str">
        <f>VLOOKUP(B64,'TRL Metrics Score'!$B$5:$C$208, 2,FALSE)</f>
        <v>Blockchain Technology (or DLT)</v>
      </c>
      <c r="E64" s="203">
        <f>VLOOKUP($B64,'TRL Metrics Score'!$B$5:$AC$208,9,FALSE)</f>
        <v>3.25</v>
      </c>
      <c r="F64" s="203">
        <f>VLOOKUP($B64,'TRL Metrics Score'!$B$5:$AC$208,14,FALSE)</f>
        <v>4.7777777777777777</v>
      </c>
      <c r="G64" s="203">
        <f>VLOOKUP($B64,'TRL Metrics Score'!$B$5:$AC$208,21,FALSE)</f>
        <v>4.083333333333333</v>
      </c>
      <c r="H64" s="203">
        <f>VLOOKUP($B64,'TRL Metrics Score'!$B$5:$AC$208,26,FALSE)</f>
        <v>4.583333333333333</v>
      </c>
      <c r="I64" s="203">
        <f>VLOOKUP($B64,'TRL Metrics Score'!$B$5:$AC$208,27,FALSE)</f>
        <v>4.3472222222222214</v>
      </c>
      <c r="J64" s="299" cm="1">
        <f t="array" ref="J64">+_xlfn.IFS(
  AND(I64&gt;=1, I64&lt;1.5), 1,
  AND(I64&gt;=1.5, I64&lt;2), 2,
  AND(I64&gt;=2, I64&lt;2.3), 3,
  AND(I64&gt;=2.3, I64&lt;2.6), 4,
  AND(I64&gt;=2.6, I64&lt;3), 5,
  AND(I64&gt;=3, I64&lt;3.5), 6,
  AND(I64&gt;=3.5, I64&lt;4), 7,
  AND(I64&gt;=4, I64&lt;=4.499), 8,
  AND(I64&gt;=4.5, I64&lt;=5), 9
)</f>
        <v>8</v>
      </c>
      <c r="N64" s="535"/>
      <c r="O64" s="375">
        <v>26</v>
      </c>
      <c r="P64" s="336" t="s">
        <v>2861</v>
      </c>
      <c r="Q64" s="326" t="s">
        <v>474</v>
      </c>
      <c r="R64" s="177">
        <v>8</v>
      </c>
      <c r="S64" s="175">
        <v>4.5</v>
      </c>
      <c r="T64" s="170">
        <v>4.333333333333333</v>
      </c>
      <c r="U64" s="170">
        <v>4</v>
      </c>
      <c r="V64" s="170">
        <v>4.416666666666667</v>
      </c>
      <c r="W64" s="538"/>
    </row>
    <row r="65" spans="1:23" ht="16" x14ac:dyDescent="0.35">
      <c r="A65" s="102">
        <f>_xlfn.XLOOKUP(B65, 'Open Source Tools'!$E$3:$E$208, 'Open Source Tools'!$A$3:$A$208, "Not found")</f>
        <v>194</v>
      </c>
      <c r="B65" s="9" t="s">
        <v>3020</v>
      </c>
      <c r="C65" t="str">
        <f>INDEX('Open Source Tools'!C:C, MATCH(B65, 'Open Source Tools'!E:E, 0))</f>
        <v>Environmental Monitoring Tools</v>
      </c>
      <c r="D65" t="str">
        <f>VLOOKUP(B65,'TRL Metrics Score'!$B$5:$C$208, 2,FALSE)</f>
        <v>Weather Forecasting Tools</v>
      </c>
      <c r="E65" s="203">
        <f>VLOOKUP($B65,'TRL Metrics Score'!$B$5:$AC$208,9,FALSE)</f>
        <v>3.5833333333333335</v>
      </c>
      <c r="F65" s="203">
        <f>VLOOKUP($B65,'TRL Metrics Score'!$B$5:$AC$208,14,FALSE)</f>
        <v>4.7777777777777777</v>
      </c>
      <c r="G65" s="203">
        <f>VLOOKUP($B65,'TRL Metrics Score'!$B$5:$AC$208,21,FALSE)</f>
        <v>3.4166666666666665</v>
      </c>
      <c r="H65" s="203">
        <f>VLOOKUP($B65,'TRL Metrics Score'!$B$5:$AC$208,26,FALSE)</f>
        <v>4.666666666666667</v>
      </c>
      <c r="I65" s="203">
        <f>VLOOKUP($B65,'TRL Metrics Score'!$B$5:$AC$208,27,FALSE)</f>
        <v>4.3388888888888886</v>
      </c>
      <c r="J65" s="299" cm="1">
        <f t="array" ref="J65">+_xlfn.IFS(
  AND(I65&gt;=1, I65&lt;1.5), 1,
  AND(I65&gt;=1.5, I65&lt;2), 2,
  AND(I65&gt;=2, I65&lt;2.3), 3,
  AND(I65&gt;=2.3, I65&lt;2.6), 4,
  AND(I65&gt;=2.6, I65&lt;3), 5,
  AND(I65&gt;=3, I65&lt;3.5), 6,
  AND(I65&gt;=3.5, I65&lt;4), 7,
  AND(I65&gt;=4, I65&lt;=4.499), 8,
  AND(I65&gt;=4.5, I65&lt;=5), 9
)</f>
        <v>8</v>
      </c>
      <c r="N65" s="535"/>
      <c r="O65" s="375">
        <v>27</v>
      </c>
      <c r="P65" s="336" t="s">
        <v>790</v>
      </c>
      <c r="Q65" s="172" t="s">
        <v>185</v>
      </c>
      <c r="R65" s="178">
        <v>8</v>
      </c>
      <c r="S65" s="176">
        <v>3.25</v>
      </c>
      <c r="T65" s="173">
        <v>4.7777777777777777</v>
      </c>
      <c r="U65" s="173">
        <v>4.083333333333333</v>
      </c>
      <c r="V65" s="173">
        <v>4.583333333333333</v>
      </c>
      <c r="W65" s="538"/>
    </row>
    <row r="66" spans="1:23" ht="16" x14ac:dyDescent="0.35">
      <c r="A66" s="102">
        <f>_xlfn.XLOOKUP(B66, 'Open Source Tools'!$E$3:$E$208, 'Open Source Tools'!$A$3:$A$208, "Not found")</f>
        <v>35</v>
      </c>
      <c r="B66" s="9" t="s">
        <v>943</v>
      </c>
      <c r="C66" t="str">
        <f>INDEX('Open Source Tools'!C:C, MATCH(B66, 'Open Source Tools'!E:E, 0))</f>
        <v>Maintenance and Safety Tools</v>
      </c>
      <c r="D66" t="str">
        <f>VLOOKUP(B66,'TRL Metrics Score'!$B$5:$C$208, 2,FALSE)</f>
        <v>Remote Monitoring Tools</v>
      </c>
      <c r="E66" s="203">
        <f>VLOOKUP($B66,'TRL Metrics Score'!$B$5:$AC$208,9,FALSE)</f>
        <v>3.75</v>
      </c>
      <c r="F66" s="203">
        <f>VLOOKUP($B66,'TRL Metrics Score'!$B$5:$AC$208,14,FALSE)</f>
        <v>4.333333333333333</v>
      </c>
      <c r="G66" s="203">
        <f>VLOOKUP($B66,'TRL Metrics Score'!$B$5:$AC$208,21,FALSE)</f>
        <v>4.583333333333333</v>
      </c>
      <c r="H66" s="203">
        <f>VLOOKUP($B66,'TRL Metrics Score'!$B$5:$AC$208,26,FALSE)</f>
        <v>4.416666666666667</v>
      </c>
      <c r="I66" s="203">
        <f>VLOOKUP($B66,'TRL Metrics Score'!$B$5:$AC$208,27,FALSE)</f>
        <v>4.3250000000000002</v>
      </c>
      <c r="J66" s="299" cm="1">
        <f t="array" ref="J66">+_xlfn.IFS(
  AND(I66&gt;=1, I66&lt;1.5), 1,
  AND(I66&gt;=1.5, I66&lt;2), 2,
  AND(I66&gt;=2, I66&lt;2.3), 3,
  AND(I66&gt;=2.3, I66&lt;2.6), 4,
  AND(I66&gt;=2.6, I66&lt;3), 5,
  AND(I66&gt;=3, I66&lt;3.5), 6,
  AND(I66&gt;=3.5, I66&lt;4), 7,
  AND(I66&gt;=4, I66&lt;=4.499), 8,
  AND(I66&gt;=4.5, I66&lt;=5), 9
)</f>
        <v>8</v>
      </c>
      <c r="N66" s="535"/>
      <c r="O66" s="375">
        <v>28</v>
      </c>
      <c r="P66" s="336" t="s">
        <v>3020</v>
      </c>
      <c r="Q66" s="172" t="s">
        <v>225</v>
      </c>
      <c r="R66" s="178">
        <v>8</v>
      </c>
      <c r="S66" s="176">
        <v>3.5833333333333335</v>
      </c>
      <c r="T66" s="173">
        <v>4.7777777777777777</v>
      </c>
      <c r="U66" s="173">
        <v>3.4166666666666665</v>
      </c>
      <c r="V66" s="173">
        <v>4.666666666666667</v>
      </c>
      <c r="W66" s="538"/>
    </row>
    <row r="67" spans="1:23" ht="16.5" thickBot="1" x14ac:dyDescent="0.4">
      <c r="A67" s="111">
        <f>_xlfn.XLOOKUP(B67, 'Open Source Tools'!$E$3:$E$208, 'Open Source Tools'!$A$3:$A$208, "Not found")</f>
        <v>134</v>
      </c>
      <c r="B67" s="246" t="s">
        <v>2245</v>
      </c>
      <c r="C67" s="109" t="str">
        <f>INDEX('Open Source Tools'!C:C, MATCH(B67, 'Open Source Tools'!E:E, 0))</f>
        <v>Energy Management and Monitoring Tools</v>
      </c>
      <c r="D67" s="109" t="str">
        <f>VLOOKUP(B67,'TRL Metrics Score'!$B$5:$C$208, 2,FALSE)</f>
        <v>Energy Analytics Platforms</v>
      </c>
      <c r="E67" s="229">
        <f>VLOOKUP($B67,'TRL Metrics Score'!$B$5:$AC$208,9,FALSE)</f>
        <v>4.666666666666667</v>
      </c>
      <c r="F67" s="229">
        <f>VLOOKUP($B67,'TRL Metrics Score'!$B$5:$AC$208,14,FALSE)</f>
        <v>4.333333333333333</v>
      </c>
      <c r="G67" s="229">
        <f>VLOOKUP($B67,'TRL Metrics Score'!$B$5:$AC$208,21,FALSE)</f>
        <v>4.5</v>
      </c>
      <c r="H67" s="229">
        <f>VLOOKUP($B67,'TRL Metrics Score'!$B$5:$AC$208,26,FALSE)</f>
        <v>4.166666666666667</v>
      </c>
      <c r="I67" s="229">
        <f>VLOOKUP($B67,'TRL Metrics Score'!$B$5:$AC$208,27,FALSE)</f>
        <v>4.3250000000000002</v>
      </c>
      <c r="J67" s="389" cm="1">
        <f t="array" ref="J67">+_xlfn.IFS(
  AND(I67&gt;=1, I67&lt;1.5), 1,
  AND(I67&gt;=1.5, I67&lt;2), 2,
  AND(I67&gt;=2, I67&lt;2.3), 3,
  AND(I67&gt;=2.3, I67&lt;2.6), 4,
  AND(I67&gt;=2.6, I67&lt;3), 5,
  AND(I67&gt;=3, I67&lt;3.5), 6,
  AND(I67&gt;=3.5, I67&lt;4), 7,
  AND(I67&gt;=4, I67&lt;=4.499), 8,
  AND(I67&gt;=4.5, I67&lt;=5), 9
)</f>
        <v>8</v>
      </c>
      <c r="N67" s="535"/>
      <c r="O67" s="375">
        <v>29</v>
      </c>
      <c r="P67" s="336" t="s">
        <v>943</v>
      </c>
      <c r="Q67" s="172" t="s">
        <v>239</v>
      </c>
      <c r="R67" s="177">
        <v>8</v>
      </c>
      <c r="S67" s="175">
        <v>3.75</v>
      </c>
      <c r="T67" s="173">
        <v>4.333333333333333</v>
      </c>
      <c r="U67" s="173">
        <v>4.583333333333333</v>
      </c>
      <c r="V67" s="170">
        <v>4.416666666666667</v>
      </c>
      <c r="W67" s="538"/>
    </row>
    <row r="68" spans="1:23" ht="16.5" thickBot="1" x14ac:dyDescent="0.4">
      <c r="B68" s="261"/>
      <c r="E68" s="102"/>
      <c r="F68" s="263"/>
      <c r="G68" s="263"/>
      <c r="H68" s="263"/>
      <c r="I68" s="263"/>
      <c r="N68" s="535"/>
      <c r="O68" s="373">
        <v>30</v>
      </c>
      <c r="P68" s="336" t="s">
        <v>2245</v>
      </c>
      <c r="Q68" s="172" t="s">
        <v>140</v>
      </c>
      <c r="R68" s="324">
        <v>8</v>
      </c>
      <c r="S68" s="322">
        <v>4.666666666666667</v>
      </c>
      <c r="T68" s="272">
        <v>4.333333333333333</v>
      </c>
      <c r="U68" s="272">
        <v>4.5</v>
      </c>
      <c r="V68" s="272">
        <v>4.166666666666667</v>
      </c>
      <c r="W68" s="538"/>
    </row>
    <row r="69" spans="1:23" x14ac:dyDescent="0.35">
      <c r="B69" s="261"/>
      <c r="E69" s="262"/>
      <c r="F69" s="263"/>
      <c r="G69" s="263"/>
      <c r="H69" s="263"/>
      <c r="I69" s="263"/>
      <c r="N69" s="212"/>
      <c r="O69" s="172"/>
      <c r="P69" s="172"/>
      <c r="Q69" s="172"/>
      <c r="R69" s="172"/>
      <c r="S69" s="172"/>
      <c r="T69" s="172"/>
      <c r="U69" s="172"/>
      <c r="V69" s="212"/>
      <c r="W69" s="539"/>
    </row>
    <row r="70" spans="1:23" x14ac:dyDescent="0.35">
      <c r="B70" s="261"/>
      <c r="E70" s="262"/>
      <c r="F70" s="263"/>
      <c r="G70" s="263"/>
      <c r="H70" s="263"/>
      <c r="I70" s="263"/>
      <c r="O70" s="172"/>
      <c r="P70" s="172"/>
      <c r="Q70" s="172"/>
      <c r="R70" s="172"/>
      <c r="S70" s="172"/>
      <c r="T70" s="172"/>
      <c r="U70" s="172"/>
      <c r="V70" s="172"/>
      <c r="W70" s="168"/>
    </row>
    <row r="71" spans="1:23" ht="16" x14ac:dyDescent="0.35">
      <c r="B71" s="9"/>
      <c r="E71" s="262"/>
      <c r="F71" s="263"/>
      <c r="G71" s="263"/>
      <c r="H71" s="263"/>
      <c r="I71" s="263"/>
      <c r="O71" s="172"/>
      <c r="P71" s="172"/>
      <c r="Q71" s="172"/>
      <c r="R71" s="172"/>
      <c r="S71" s="172"/>
      <c r="T71" s="172"/>
      <c r="U71" s="172"/>
      <c r="V71" s="172"/>
    </row>
    <row r="72" spans="1:23" ht="16" x14ac:dyDescent="0.35">
      <c r="B72" s="9"/>
      <c r="E72" s="262"/>
      <c r="F72" s="263"/>
      <c r="G72" s="263"/>
      <c r="H72" s="263"/>
      <c r="I72" s="263"/>
    </row>
    <row r="73" spans="1:23" ht="16" x14ac:dyDescent="0.35">
      <c r="B73" s="9"/>
      <c r="E73" s="262"/>
      <c r="F73" s="263"/>
      <c r="G73" s="263"/>
      <c r="H73" s="263"/>
      <c r="I73" s="263"/>
    </row>
    <row r="74" spans="1:23" ht="16" x14ac:dyDescent="0.35">
      <c r="B74" s="9"/>
      <c r="E74" s="262"/>
      <c r="F74" s="263"/>
      <c r="G74" s="263"/>
      <c r="H74" s="263"/>
      <c r="I74" s="263"/>
    </row>
    <row r="75" spans="1:23" ht="16" x14ac:dyDescent="0.35">
      <c r="B75" s="9"/>
      <c r="E75" s="262"/>
      <c r="F75" s="263"/>
      <c r="G75" s="263"/>
      <c r="H75" s="263"/>
      <c r="I75" s="263"/>
    </row>
    <row r="76" spans="1:23" ht="16" x14ac:dyDescent="0.35">
      <c r="B76" s="9"/>
      <c r="E76" s="262"/>
      <c r="F76" s="263"/>
      <c r="G76" s="263"/>
      <c r="H76" s="263"/>
      <c r="I76" s="263"/>
    </row>
    <row r="77" spans="1:23" ht="16" x14ac:dyDescent="0.35">
      <c r="B77" s="9"/>
      <c r="E77" s="262"/>
      <c r="F77" s="263"/>
      <c r="G77" s="263"/>
      <c r="H77" s="263"/>
      <c r="I77" s="263"/>
    </row>
    <row r="78" spans="1:23" ht="16" x14ac:dyDescent="0.35">
      <c r="B78" s="9"/>
      <c r="E78" s="262"/>
      <c r="F78" s="263"/>
      <c r="G78" s="263"/>
      <c r="H78" s="263"/>
      <c r="I78" s="263"/>
    </row>
    <row r="79" spans="1:23" ht="16" x14ac:dyDescent="0.35">
      <c r="B79" s="9"/>
      <c r="E79" s="262"/>
      <c r="F79" s="263"/>
      <c r="G79" s="263"/>
      <c r="H79" s="263"/>
      <c r="I79" s="263"/>
    </row>
    <row r="80" spans="1:23" ht="16" x14ac:dyDescent="0.4">
      <c r="B80" s="151"/>
      <c r="E80" s="262"/>
      <c r="F80" s="263"/>
      <c r="G80" s="263"/>
      <c r="H80" s="263"/>
      <c r="I80" s="263"/>
    </row>
    <row r="81" spans="1:10" ht="16" x14ac:dyDescent="0.35">
      <c r="B81" s="9"/>
      <c r="E81" s="262"/>
      <c r="F81" s="263"/>
      <c r="G81" s="263"/>
      <c r="H81" s="263"/>
      <c r="I81" s="263"/>
    </row>
    <row r="82" spans="1:10" ht="16" x14ac:dyDescent="0.4">
      <c r="B82" s="151"/>
      <c r="E82" s="262"/>
      <c r="F82" s="263"/>
      <c r="G82" s="263"/>
      <c r="H82" s="263"/>
      <c r="I82" s="263"/>
    </row>
    <row r="83" spans="1:10" ht="16" x14ac:dyDescent="0.35">
      <c r="B83" s="9"/>
      <c r="E83" s="262"/>
      <c r="F83" s="263"/>
      <c r="G83" s="263"/>
      <c r="H83" s="263"/>
      <c r="I83" s="263"/>
    </row>
    <row r="84" spans="1:10" ht="16" x14ac:dyDescent="0.35">
      <c r="B84" s="9"/>
      <c r="E84" s="262"/>
      <c r="F84" s="263"/>
      <c r="G84" s="263"/>
      <c r="H84" s="263"/>
      <c r="I84" s="263"/>
    </row>
    <row r="85" spans="1:10" ht="16" x14ac:dyDescent="0.35">
      <c r="B85" s="9"/>
      <c r="E85" s="262"/>
      <c r="F85" s="263"/>
      <c r="G85" s="263"/>
      <c r="H85" s="263"/>
      <c r="I85" s="263"/>
    </row>
    <row r="86" spans="1:10" ht="16" x14ac:dyDescent="0.35">
      <c r="B86" s="9"/>
      <c r="E86" s="262"/>
      <c r="F86" s="263"/>
      <c r="G86" s="263"/>
      <c r="H86" s="263"/>
      <c r="I86" s="263"/>
    </row>
    <row r="87" spans="1:10" ht="16" x14ac:dyDescent="0.35">
      <c r="B87" s="9"/>
      <c r="E87" s="262"/>
      <c r="F87" s="263"/>
      <c r="G87" s="263"/>
      <c r="H87" s="263"/>
      <c r="I87" s="263"/>
    </row>
    <row r="88" spans="1:10" ht="16" x14ac:dyDescent="0.35">
      <c r="B88" s="9"/>
      <c r="E88" s="3"/>
      <c r="F88" s="264"/>
      <c r="G88" s="264"/>
      <c r="H88" s="264"/>
      <c r="I88" s="264"/>
    </row>
    <row r="89" spans="1:10" ht="16" x14ac:dyDescent="0.35">
      <c r="B89" s="9"/>
      <c r="E89" s="3"/>
      <c r="F89" s="264"/>
      <c r="G89" s="264"/>
      <c r="H89" s="264"/>
      <c r="I89" s="264"/>
    </row>
    <row r="90" spans="1:10" ht="16" x14ac:dyDescent="0.35">
      <c r="B90" s="9"/>
      <c r="E90" s="2"/>
      <c r="F90" s="264"/>
      <c r="G90" s="264"/>
      <c r="H90" s="264"/>
      <c r="I90" s="264"/>
    </row>
    <row r="91" spans="1:10" ht="16" x14ac:dyDescent="0.35">
      <c r="B91" s="9"/>
    </row>
    <row r="92" spans="1:10" ht="16" x14ac:dyDescent="0.4">
      <c r="B92" s="151"/>
    </row>
    <row r="93" spans="1:10" ht="16" x14ac:dyDescent="0.35">
      <c r="B93" s="9"/>
      <c r="E93" s="3"/>
      <c r="F93" s="265"/>
      <c r="G93" s="265"/>
      <c r="H93" s="265"/>
      <c r="I93" s="265"/>
      <c r="J93" s="102"/>
    </row>
    <row r="94" spans="1:10" ht="16" x14ac:dyDescent="0.35">
      <c r="A94" s="102"/>
      <c r="B94" s="9"/>
      <c r="E94" s="3"/>
      <c r="F94" s="265"/>
      <c r="G94" s="265"/>
      <c r="H94" s="265"/>
      <c r="I94" s="265"/>
      <c r="J94" s="102"/>
    </row>
    <row r="95" spans="1:10" ht="16" x14ac:dyDescent="0.35">
      <c r="A95" s="102"/>
      <c r="B95" s="9"/>
      <c r="E95" s="3"/>
      <c r="F95" s="265"/>
      <c r="G95" s="265"/>
      <c r="H95" s="265"/>
      <c r="I95" s="265"/>
      <c r="J95" s="102"/>
    </row>
    <row r="96" spans="1:10" ht="16" x14ac:dyDescent="0.35">
      <c r="A96" s="102"/>
      <c r="B96" s="9"/>
      <c r="E96" s="3"/>
      <c r="F96" s="265"/>
      <c r="G96" s="265"/>
      <c r="H96" s="265"/>
      <c r="I96" s="265"/>
      <c r="J96" s="102"/>
    </row>
    <row r="97" spans="1:10" ht="16" x14ac:dyDescent="0.35">
      <c r="A97" s="102"/>
      <c r="B97" s="9"/>
      <c r="E97" s="3"/>
      <c r="F97" s="265"/>
      <c r="G97" s="265"/>
      <c r="H97" s="265"/>
      <c r="I97" s="265"/>
      <c r="J97" s="102"/>
    </row>
    <row r="98" spans="1:10" ht="16" x14ac:dyDescent="0.35">
      <c r="A98" s="102"/>
      <c r="B98" s="9"/>
      <c r="E98" s="3"/>
      <c r="F98" s="265"/>
      <c r="G98" s="265"/>
      <c r="H98" s="265"/>
      <c r="I98" s="265"/>
      <c r="J98" s="102"/>
    </row>
    <row r="99" spans="1:10" ht="16" x14ac:dyDescent="0.35">
      <c r="A99" s="102"/>
      <c r="B99" s="9"/>
      <c r="E99" s="3"/>
      <c r="F99" s="265"/>
      <c r="G99" s="265"/>
      <c r="H99" s="265"/>
      <c r="I99" s="265"/>
      <c r="J99" s="102"/>
    </row>
    <row r="100" spans="1:10" ht="16" x14ac:dyDescent="0.35">
      <c r="A100" s="102"/>
      <c r="B100" s="9"/>
      <c r="E100" s="3"/>
      <c r="F100" s="265"/>
      <c r="G100" s="265"/>
      <c r="H100" s="265"/>
      <c r="I100" s="265"/>
      <c r="J100" s="102"/>
    </row>
    <row r="101" spans="1:10" ht="16" x14ac:dyDescent="0.35">
      <c r="A101" s="102"/>
      <c r="B101" s="9"/>
      <c r="E101" s="3"/>
      <c r="F101" s="265"/>
      <c r="G101" s="265"/>
      <c r="H101" s="265"/>
      <c r="I101" s="265"/>
      <c r="J101" s="102"/>
    </row>
    <row r="102" spans="1:10" ht="16" x14ac:dyDescent="0.35">
      <c r="A102" s="102"/>
      <c r="B102" s="9"/>
      <c r="E102" s="3"/>
      <c r="F102" s="265"/>
      <c r="G102" s="265"/>
      <c r="H102" s="265"/>
      <c r="I102" s="265"/>
      <c r="J102" s="102"/>
    </row>
    <row r="103" spans="1:10" ht="16" x14ac:dyDescent="0.35">
      <c r="A103" s="102"/>
      <c r="B103" s="9"/>
      <c r="E103" s="3"/>
      <c r="F103" s="265"/>
      <c r="G103" s="265"/>
      <c r="H103" s="265"/>
      <c r="I103" s="265"/>
      <c r="J103" s="102"/>
    </row>
    <row r="104" spans="1:10" ht="16" x14ac:dyDescent="0.35">
      <c r="A104" s="102"/>
      <c r="B104" s="9"/>
      <c r="E104" s="3"/>
      <c r="F104" s="265"/>
      <c r="G104" s="265"/>
      <c r="H104" s="265"/>
      <c r="I104" s="265"/>
      <c r="J104" s="102"/>
    </row>
    <row r="105" spans="1:10" ht="16" x14ac:dyDescent="0.35">
      <c r="A105" s="102"/>
      <c r="B105" s="9"/>
      <c r="E105" s="3"/>
      <c r="F105" s="265"/>
      <c r="G105" s="265"/>
      <c r="H105" s="265"/>
      <c r="I105" s="265"/>
      <c r="J105" s="102"/>
    </row>
    <row r="106" spans="1:10" ht="16" x14ac:dyDescent="0.35">
      <c r="A106" s="102"/>
      <c r="B106" s="9"/>
      <c r="E106" s="3"/>
      <c r="F106" s="265"/>
      <c r="G106" s="265"/>
      <c r="H106" s="265"/>
      <c r="I106" s="265"/>
      <c r="J106" s="102"/>
    </row>
    <row r="107" spans="1:10" ht="16" x14ac:dyDescent="0.35">
      <c r="A107" s="102"/>
      <c r="B107" s="9"/>
      <c r="E107" s="3"/>
      <c r="F107" s="265"/>
      <c r="G107" s="265"/>
      <c r="H107" s="265"/>
      <c r="I107" s="265"/>
      <c r="J107" s="102"/>
    </row>
    <row r="108" spans="1:10" ht="16" x14ac:dyDescent="0.35">
      <c r="A108" s="102"/>
      <c r="B108" s="9"/>
      <c r="E108" s="3"/>
      <c r="F108" s="265"/>
      <c r="G108" s="265"/>
      <c r="H108" s="265"/>
      <c r="I108" s="265"/>
      <c r="J108" s="102"/>
    </row>
    <row r="109" spans="1:10" ht="16" x14ac:dyDescent="0.35">
      <c r="A109" s="102"/>
      <c r="B109" s="9"/>
      <c r="E109" s="3"/>
      <c r="F109" s="265"/>
      <c r="G109" s="265"/>
      <c r="H109" s="265"/>
      <c r="I109" s="265"/>
      <c r="J109" s="102"/>
    </row>
    <row r="110" spans="1:10" ht="16" x14ac:dyDescent="0.35">
      <c r="A110" s="102"/>
      <c r="B110" s="9"/>
      <c r="E110" s="3"/>
      <c r="F110" s="265"/>
      <c r="G110" s="265"/>
      <c r="H110" s="265"/>
      <c r="I110" s="265"/>
      <c r="J110" s="102"/>
    </row>
    <row r="111" spans="1:10" ht="16" x14ac:dyDescent="0.35">
      <c r="A111" s="102"/>
      <c r="B111" s="9"/>
      <c r="E111" s="3"/>
      <c r="F111" s="265"/>
      <c r="G111" s="265"/>
      <c r="H111" s="265"/>
      <c r="I111" s="265"/>
      <c r="J111" s="102"/>
    </row>
    <row r="112" spans="1:10" ht="16" x14ac:dyDescent="0.35">
      <c r="A112" s="102"/>
      <c r="B112" s="9"/>
      <c r="E112" s="3"/>
      <c r="F112" s="265"/>
      <c r="G112" s="265"/>
      <c r="H112" s="265"/>
      <c r="I112" s="265"/>
      <c r="J112" s="102"/>
    </row>
  </sheetData>
  <mergeCells count="20">
    <mergeCell ref="J35:J37"/>
    <mergeCell ref="O36:V37"/>
    <mergeCell ref="N37:N68"/>
    <mergeCell ref="W37:W69"/>
    <mergeCell ref="J1:J3"/>
    <mergeCell ref="N1:N33"/>
    <mergeCell ref="O1:V2"/>
    <mergeCell ref="W1:W34"/>
    <mergeCell ref="I35:I37"/>
    <mergeCell ref="A1:D2"/>
    <mergeCell ref="E1:E2"/>
    <mergeCell ref="F1:F2"/>
    <mergeCell ref="G1:G2"/>
    <mergeCell ref="H1:H2"/>
    <mergeCell ref="I1:I3"/>
    <mergeCell ref="A35:D36"/>
    <mergeCell ref="E35:E36"/>
    <mergeCell ref="F35:F36"/>
    <mergeCell ref="G35:G36"/>
    <mergeCell ref="H35:H36"/>
  </mergeCells>
  <conditionalFormatting sqref="B4">
    <cfRule type="duplicateValues" dxfId="340" priority="77"/>
  </conditionalFormatting>
  <conditionalFormatting sqref="B5">
    <cfRule type="duplicateValues" dxfId="339" priority="36"/>
  </conditionalFormatting>
  <conditionalFormatting sqref="B6">
    <cfRule type="duplicateValues" dxfId="338" priority="35"/>
  </conditionalFormatting>
  <conditionalFormatting sqref="B7">
    <cfRule type="duplicateValues" dxfId="337" priority="34"/>
  </conditionalFormatting>
  <conditionalFormatting sqref="B8">
    <cfRule type="duplicateValues" dxfId="336" priority="33"/>
  </conditionalFormatting>
  <conditionalFormatting sqref="B9">
    <cfRule type="duplicateValues" dxfId="335" priority="32"/>
  </conditionalFormatting>
  <conditionalFormatting sqref="B10">
    <cfRule type="duplicateValues" dxfId="334" priority="31"/>
  </conditionalFormatting>
  <conditionalFormatting sqref="B11">
    <cfRule type="duplicateValues" dxfId="333" priority="43"/>
  </conditionalFormatting>
  <conditionalFormatting sqref="B12">
    <cfRule type="duplicateValues" dxfId="332" priority="42"/>
  </conditionalFormatting>
  <conditionalFormatting sqref="B13">
    <cfRule type="duplicateValues" dxfId="331" priority="47"/>
  </conditionalFormatting>
  <conditionalFormatting sqref="B14">
    <cfRule type="duplicateValues" dxfId="330" priority="46"/>
  </conditionalFormatting>
  <conditionalFormatting sqref="B15">
    <cfRule type="duplicateValues" dxfId="329" priority="72"/>
  </conditionalFormatting>
  <conditionalFormatting sqref="B16">
    <cfRule type="duplicateValues" dxfId="328" priority="71"/>
  </conditionalFormatting>
  <conditionalFormatting sqref="B17">
    <cfRule type="duplicateValues" dxfId="327" priority="70"/>
  </conditionalFormatting>
  <conditionalFormatting sqref="B18">
    <cfRule type="duplicateValues" dxfId="326" priority="69"/>
  </conditionalFormatting>
  <conditionalFormatting sqref="B19">
    <cfRule type="duplicateValues" dxfId="325" priority="41"/>
  </conditionalFormatting>
  <conditionalFormatting sqref="B20">
    <cfRule type="duplicateValues" dxfId="324" priority="68"/>
  </conditionalFormatting>
  <conditionalFormatting sqref="B21">
    <cfRule type="duplicateValues" dxfId="323" priority="30"/>
  </conditionalFormatting>
  <conditionalFormatting sqref="B22">
    <cfRule type="duplicateValues" dxfId="322" priority="67"/>
  </conditionalFormatting>
  <conditionalFormatting sqref="B23">
    <cfRule type="duplicateValues" dxfId="321" priority="66"/>
  </conditionalFormatting>
  <conditionalFormatting sqref="B24">
    <cfRule type="duplicateValues" dxfId="320" priority="76"/>
  </conditionalFormatting>
  <conditionalFormatting sqref="B25">
    <cfRule type="duplicateValues" dxfId="319" priority="44"/>
  </conditionalFormatting>
  <conditionalFormatting sqref="B26">
    <cfRule type="duplicateValues" dxfId="318" priority="75"/>
  </conditionalFormatting>
  <conditionalFormatting sqref="B27">
    <cfRule type="duplicateValues" dxfId="317" priority="45"/>
  </conditionalFormatting>
  <conditionalFormatting sqref="B28">
    <cfRule type="duplicateValues" dxfId="316" priority="74"/>
  </conditionalFormatting>
  <conditionalFormatting sqref="B29">
    <cfRule type="duplicateValues" dxfId="315" priority="65"/>
  </conditionalFormatting>
  <conditionalFormatting sqref="B30">
    <cfRule type="duplicateValues" dxfId="314" priority="73"/>
  </conditionalFormatting>
  <conditionalFormatting sqref="B31">
    <cfRule type="duplicateValues" dxfId="313" priority="13"/>
  </conditionalFormatting>
  <conditionalFormatting sqref="B32">
    <cfRule type="duplicateValues" dxfId="312" priority="29"/>
  </conditionalFormatting>
  <conditionalFormatting sqref="B33">
    <cfRule type="duplicateValues" dxfId="311" priority="55"/>
  </conditionalFormatting>
  <conditionalFormatting sqref="B38:B49">
    <cfRule type="duplicateValues" dxfId="310" priority="336"/>
  </conditionalFormatting>
  <conditionalFormatting sqref="B50:B57">
    <cfRule type="duplicateValues" dxfId="309" priority="6"/>
  </conditionalFormatting>
  <conditionalFormatting sqref="B58:B67">
    <cfRule type="duplicateValues" dxfId="308" priority="5"/>
  </conditionalFormatting>
  <conditionalFormatting sqref="B68:B70">
    <cfRule type="duplicateValues" dxfId="307" priority="64"/>
  </conditionalFormatting>
  <conditionalFormatting sqref="B69:B98 B4:B33">
    <cfRule type="duplicateValues" dxfId="306" priority="1"/>
  </conditionalFormatting>
  <conditionalFormatting sqref="B71:B100">
    <cfRule type="duplicateValues" dxfId="305" priority="7"/>
  </conditionalFormatting>
  <conditionalFormatting sqref="B101">
    <cfRule type="duplicateValues" dxfId="304" priority="8"/>
  </conditionalFormatting>
  <conditionalFormatting sqref="B102:B112">
    <cfRule type="duplicateValues" dxfId="303" priority="38"/>
  </conditionalFormatting>
  <conditionalFormatting sqref="E69:E87">
    <cfRule type="colorScale" priority="61">
      <colorScale>
        <cfvo type="num" val="1"/>
        <cfvo type="num" val="2.5"/>
        <cfvo type="num" val="5"/>
        <color rgb="FFF8696B"/>
        <color rgb="FFFFEB84"/>
        <color rgb="FF63BE7B"/>
      </colorScale>
    </cfRule>
    <cfRule type="colorScale" priority="62">
      <colorScale>
        <cfvo type="min"/>
        <cfvo type="percentile" val="50"/>
        <cfvo type="max"/>
        <color rgb="FFF8696B"/>
        <color rgb="FFFFEB84"/>
        <color rgb="FF63BE7B"/>
      </colorScale>
    </cfRule>
  </conditionalFormatting>
  <conditionalFormatting sqref="E69:E89">
    <cfRule type="colorScale" priority="59">
      <colorScale>
        <cfvo type="min"/>
        <cfvo type="percentile" val="50"/>
        <cfvo type="max"/>
        <color rgb="FFF8696B"/>
        <color rgb="FFFFEB84"/>
        <color rgb="FF63BE7B"/>
      </colorScale>
    </cfRule>
  </conditionalFormatting>
  <conditionalFormatting sqref="E69:E90">
    <cfRule type="colorScale" priority="39">
      <colorScale>
        <cfvo type="min"/>
        <cfvo type="percentile" val="50"/>
        <cfvo type="max"/>
        <color rgb="FFF8696B"/>
        <color rgb="FFFFEB84"/>
        <color rgb="FF63BE7B"/>
      </colorScale>
    </cfRule>
  </conditionalFormatting>
  <conditionalFormatting sqref="F68:I87">
    <cfRule type="colorScale" priority="63">
      <colorScale>
        <cfvo type="min"/>
        <cfvo type="percentile" val="50"/>
        <cfvo type="max"/>
        <color rgb="FFF8696B"/>
        <color rgb="FFFFEB84"/>
        <color rgb="FF63BE7B"/>
      </colorScale>
    </cfRule>
    <cfRule type="colorScale" priority="60">
      <colorScale>
        <cfvo type="min"/>
        <cfvo type="percentile" val="50"/>
        <cfvo type="max"/>
        <color rgb="FFF8696B"/>
        <color rgb="FFFFEB84"/>
        <color rgb="FF63BE7B"/>
      </colorScale>
    </cfRule>
  </conditionalFormatting>
  <conditionalFormatting sqref="F68:I89 L59:L86">
    <cfRule type="colorScale" priority="78">
      <colorScale>
        <cfvo type="min"/>
        <cfvo type="percentile" val="50"/>
        <cfvo type="max"/>
        <color rgb="FFF8696B"/>
        <color rgb="FFFFEB84"/>
        <color rgb="FF63BE7B"/>
      </colorScale>
    </cfRule>
  </conditionalFormatting>
  <conditionalFormatting sqref="F68:I90">
    <cfRule type="colorScale" priority="40">
      <colorScale>
        <cfvo type="min"/>
        <cfvo type="percentile" val="50"/>
        <cfvo type="max"/>
        <color rgb="FFF8696B"/>
        <color rgb="FFFFEB84"/>
        <color rgb="FF63BE7B"/>
      </colorScale>
    </cfRule>
  </conditionalFormatting>
  <conditionalFormatting sqref="F93:I112">
    <cfRule type="colorScale" priority="37">
      <colorScale>
        <cfvo type="num" val="1"/>
        <cfvo type="num" val="2.5"/>
        <cfvo type="num" val="5"/>
        <color rgb="FFF8696B"/>
        <color rgb="FFFFEB84"/>
        <color rgb="FF63BE7B"/>
      </colorScale>
    </cfRule>
  </conditionalFormatting>
  <conditionalFormatting sqref="P39:P50">
    <cfRule type="duplicateValues" dxfId="302" priority="4"/>
  </conditionalFormatting>
  <conditionalFormatting sqref="P51:P58">
    <cfRule type="duplicateValues" dxfId="301" priority="3"/>
  </conditionalFormatting>
  <conditionalFormatting sqref="P59:P68">
    <cfRule type="duplicateValues" dxfId="300" priority="2"/>
  </conditionalFormatting>
  <conditionalFormatting sqref="P4:Q29">
    <cfRule type="duplicateValues" dxfId="299" priority="81"/>
  </conditionalFormatting>
  <conditionalFormatting sqref="R4:R33">
    <cfRule type="colorScale" priority="9">
      <colorScale>
        <cfvo type="num" val="1"/>
        <cfvo type="num" val="4.5"/>
        <cfvo type="num" val="9"/>
        <color rgb="FFF8696B"/>
        <color rgb="FFFFEB84"/>
        <color rgb="FF63BE7B"/>
      </colorScale>
    </cfRule>
  </conditionalFormatting>
  <conditionalFormatting sqref="R39:R64 R67">
    <cfRule type="colorScale" priority="21">
      <colorScale>
        <cfvo type="min"/>
        <cfvo type="percentile" val="50"/>
        <cfvo type="max"/>
        <color rgb="FFF8696B"/>
        <color rgb="FFFFEB84"/>
        <color rgb="FF63BE7B"/>
      </colorScale>
    </cfRule>
    <cfRule type="colorScale" priority="20">
      <colorScale>
        <cfvo type="num" val="2"/>
        <cfvo type="num" val="5"/>
        <cfvo type="num" val="9"/>
        <color rgb="FFF8696B"/>
        <color rgb="FFFFEB84"/>
        <color rgb="FF63BE7B"/>
      </colorScale>
    </cfRule>
  </conditionalFormatting>
  <conditionalFormatting sqref="R39:R67">
    <cfRule type="colorScale" priority="19">
      <colorScale>
        <cfvo type="min"/>
        <cfvo type="percentile" val="50"/>
        <cfvo type="max"/>
        <color rgb="FFF8696B"/>
        <color rgb="FFFFEB84"/>
        <color rgb="FF63BE7B"/>
      </colorScale>
    </cfRule>
    <cfRule type="colorScale" priority="17">
      <colorScale>
        <cfvo type="num" val="2"/>
        <cfvo type="num" val="5"/>
        <cfvo type="num" val="9"/>
        <color rgb="FFF8696B"/>
        <color rgb="FFFFEB84"/>
        <color rgb="FF63BE7B"/>
      </colorScale>
    </cfRule>
  </conditionalFormatting>
  <conditionalFormatting sqref="R39:R68">
    <cfRule type="colorScale" priority="14">
      <colorScale>
        <cfvo type="num" val="2"/>
        <cfvo type="num" val="5.5"/>
        <cfvo type="num" val="9"/>
        <color rgb="FFF8696B"/>
        <color rgb="FFFFEB84"/>
        <color rgb="FF63BE7B"/>
      </colorScale>
    </cfRule>
  </conditionalFormatting>
  <conditionalFormatting sqref="S4:V33">
    <cfRule type="colorScale" priority="10">
      <colorScale>
        <cfvo type="num" val="0"/>
        <cfvo type="num" val="2.5"/>
        <cfvo type="num" val="5"/>
        <color rgb="FFF8696B"/>
        <color rgb="FFFFEB84"/>
        <color rgb="FF63BE7B"/>
      </colorScale>
    </cfRule>
  </conditionalFormatting>
  <conditionalFormatting sqref="S39:V64 S67 V67">
    <cfRule type="colorScale" priority="22">
      <colorScale>
        <cfvo type="min"/>
        <cfvo type="percentile" val="50"/>
        <cfvo type="max"/>
        <color rgb="FFF8696B"/>
        <color rgb="FFFFEB84"/>
        <color rgb="FF63BE7B"/>
      </colorScale>
    </cfRule>
  </conditionalFormatting>
  <conditionalFormatting sqref="S39:V66 S67 V67">
    <cfRule type="colorScale" priority="23">
      <colorScale>
        <cfvo type="min"/>
        <cfvo type="percentile" val="50"/>
        <cfvo type="max"/>
        <color rgb="FFF8696B"/>
        <color rgb="FFFFEB84"/>
        <color rgb="FF63BE7B"/>
      </colorScale>
    </cfRule>
  </conditionalFormatting>
  <conditionalFormatting sqref="S39:V67">
    <cfRule type="colorScale" priority="18">
      <colorScale>
        <cfvo type="min"/>
        <cfvo type="percentile" val="50"/>
        <cfvo type="max"/>
        <color rgb="FFF8696B"/>
        <color rgb="FFFFEB84"/>
        <color rgb="FF63BE7B"/>
      </colorScale>
    </cfRule>
    <cfRule type="colorScale" priority="16">
      <colorScale>
        <cfvo type="num" val="1"/>
        <cfvo type="num" val="3"/>
        <cfvo type="num" val="5"/>
        <color rgb="FFF8696B"/>
        <color rgb="FFFFEB84"/>
        <color rgb="FF63BE7B"/>
      </colorScale>
    </cfRule>
  </conditionalFormatting>
  <conditionalFormatting sqref="S39:V68">
    <cfRule type="colorScale" priority="15">
      <colorScale>
        <cfvo type="num" val="1"/>
        <cfvo type="num" val="3"/>
        <cfvo type="num" val="5"/>
        <color rgb="FFF8696B"/>
        <color rgb="FFFFEB84"/>
        <color rgb="FF63BE7B"/>
      </colorScale>
    </cfRule>
  </conditionalFormatting>
  <conditionalFormatting sqref="AA4:AA29 AB5:AB32">
    <cfRule type="duplicateValues" dxfId="298" priority="52"/>
  </conditionalFormatting>
  <conditionalFormatting sqref="AC4:AC29 AC33">
    <cfRule type="colorScale" priority="50">
      <colorScale>
        <cfvo type="num" val="2"/>
        <cfvo type="num" val="5"/>
        <cfvo type="num" val="9"/>
        <color rgb="FFF8696B"/>
        <color rgb="FFFFEB84"/>
        <color rgb="FF63BE7B"/>
      </colorScale>
    </cfRule>
    <cfRule type="colorScale" priority="51">
      <colorScale>
        <cfvo type="min"/>
        <cfvo type="percentile" val="50"/>
        <cfvo type="max"/>
        <color rgb="FFF8696B"/>
        <color rgb="FFFFEB84"/>
        <color rgb="FF63BE7B"/>
      </colorScale>
    </cfRule>
  </conditionalFormatting>
  <conditionalFormatting sqref="AC4:AC33">
    <cfRule type="colorScale" priority="49">
      <colorScale>
        <cfvo type="min"/>
        <cfvo type="percentile" val="50"/>
        <cfvo type="max"/>
        <color rgb="FFF8696B"/>
        <color rgb="FFFFEB84"/>
        <color rgb="FF63BE7B"/>
      </colorScale>
    </cfRule>
  </conditionalFormatting>
  <conditionalFormatting sqref="AD4:AG29 AD33 AG33">
    <cfRule type="colorScale" priority="53">
      <colorScale>
        <cfvo type="min"/>
        <cfvo type="percentile" val="50"/>
        <cfvo type="max"/>
        <color rgb="FFF8696B"/>
        <color rgb="FFFFEB84"/>
        <color rgb="FF63BE7B"/>
      </colorScale>
    </cfRule>
  </conditionalFormatting>
  <conditionalFormatting sqref="AD4:AG32 AD33 AG33">
    <cfRule type="colorScale" priority="54">
      <colorScale>
        <cfvo type="min"/>
        <cfvo type="percentile" val="50"/>
        <cfvo type="max"/>
        <color rgb="FFF8696B"/>
        <color rgb="FFFFEB84"/>
        <color rgb="FF63BE7B"/>
      </colorScale>
    </cfRule>
  </conditionalFormatting>
  <conditionalFormatting sqref="AD4:AG33">
    <cfRule type="colorScale" priority="48">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scale="5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A0789-A26E-47A4-A479-5DF53311759C}">
  <sheetPr>
    <tabColor theme="8" tint="0.79998168889431442"/>
  </sheetPr>
  <dimension ref="A1:BI174"/>
  <sheetViews>
    <sheetView topLeftCell="A9" zoomScale="97" zoomScaleNormal="100" workbookViewId="0">
      <selection activeCell="N56" sqref="N56"/>
    </sheetView>
  </sheetViews>
  <sheetFormatPr defaultRowHeight="14.5" x14ac:dyDescent="0.35"/>
  <cols>
    <col min="2" max="2" width="59" bestFit="1" customWidth="1"/>
    <col min="3" max="3" width="57" bestFit="1" customWidth="1"/>
    <col min="4" max="4" width="11.81640625" hidden="1" customWidth="1"/>
    <col min="5" max="5" width="18.7265625" customWidth="1"/>
    <col min="6" max="16" width="15.54296875" customWidth="1"/>
    <col min="17" max="17" width="12.54296875" customWidth="1"/>
    <col min="18" max="18" width="5.7265625" customWidth="1"/>
    <col min="19" max="19" width="34.453125" customWidth="1"/>
    <col min="20" max="20" width="17.54296875" customWidth="1"/>
    <col min="25" max="25" width="20.81640625" customWidth="1"/>
    <col min="26" max="26" width="86.54296875" bestFit="1" customWidth="1"/>
    <col min="29" max="29" width="13.1796875" customWidth="1"/>
    <col min="45" max="45" width="34.453125" customWidth="1"/>
    <col min="46" max="51" width="13.54296875" customWidth="1"/>
    <col min="52" max="52" width="14.7265625" customWidth="1"/>
    <col min="53" max="54" width="13.54296875" customWidth="1"/>
    <col min="55" max="55" width="14.54296875" customWidth="1"/>
    <col min="56" max="56" width="14.453125" customWidth="1"/>
    <col min="57" max="57" width="17.7265625" customWidth="1"/>
  </cols>
  <sheetData>
    <row r="1" spans="1:26" x14ac:dyDescent="0.35">
      <c r="A1" s="552" t="s">
        <v>3286</v>
      </c>
      <c r="B1" s="552"/>
      <c r="C1" s="552"/>
      <c r="D1" s="552"/>
      <c r="E1" s="552"/>
      <c r="F1" s="552"/>
      <c r="G1" s="552"/>
      <c r="H1" s="552"/>
      <c r="I1" s="552"/>
      <c r="J1" s="552"/>
      <c r="K1" s="552"/>
      <c r="L1" s="552"/>
      <c r="M1" s="552"/>
      <c r="N1" s="552"/>
      <c r="O1" s="552"/>
      <c r="P1" s="552"/>
      <c r="Q1" s="552"/>
      <c r="R1" s="552"/>
      <c r="S1" s="552"/>
      <c r="T1" s="552"/>
    </row>
    <row r="2" spans="1:26" ht="15" thickBot="1" x14ac:dyDescent="0.4">
      <c r="A2" s="552"/>
      <c r="B2" s="552"/>
      <c r="C2" s="552"/>
      <c r="D2" s="552"/>
      <c r="E2" s="552"/>
      <c r="F2" s="552"/>
      <c r="G2" s="552"/>
      <c r="H2" s="552"/>
      <c r="I2" s="552"/>
      <c r="J2" s="552"/>
      <c r="K2" s="552"/>
      <c r="L2" s="552"/>
      <c r="M2" s="552"/>
      <c r="N2" s="552"/>
      <c r="O2" s="552"/>
      <c r="P2" s="552"/>
      <c r="Q2" s="552"/>
      <c r="R2" s="552"/>
      <c r="S2" s="552"/>
      <c r="T2" s="552"/>
    </row>
    <row r="3" spans="1:26" x14ac:dyDescent="0.35">
      <c r="A3" s="553" t="s">
        <v>34</v>
      </c>
      <c r="B3" s="555" t="s">
        <v>3165</v>
      </c>
      <c r="C3" s="555" t="s">
        <v>3166</v>
      </c>
      <c r="D3" s="557" t="s">
        <v>3175</v>
      </c>
      <c r="E3" s="22">
        <v>1</v>
      </c>
      <c r="F3" s="22">
        <v>2</v>
      </c>
      <c r="G3" s="248">
        <v>3</v>
      </c>
      <c r="H3" s="22">
        <v>4</v>
      </c>
      <c r="I3" s="248">
        <v>5</v>
      </c>
      <c r="J3" s="22">
        <v>6</v>
      </c>
      <c r="K3" s="248">
        <v>7</v>
      </c>
      <c r="L3" s="22">
        <v>8</v>
      </c>
      <c r="M3" s="248">
        <v>9</v>
      </c>
      <c r="N3" s="22">
        <v>10</v>
      </c>
      <c r="O3" s="248">
        <v>11</v>
      </c>
      <c r="P3" s="165">
        <v>12</v>
      </c>
      <c r="Q3" s="559" t="s">
        <v>3277</v>
      </c>
      <c r="R3" s="3"/>
      <c r="S3" s="416" t="s">
        <v>3132</v>
      </c>
      <c r="T3" s="413" t="s">
        <v>509</v>
      </c>
    </row>
    <row r="4" spans="1:26" ht="55.5" customHeight="1" x14ac:dyDescent="0.35">
      <c r="A4" s="554"/>
      <c r="B4" s="556"/>
      <c r="C4" s="556"/>
      <c r="D4" s="558"/>
      <c r="E4" s="309" t="s">
        <v>123</v>
      </c>
      <c r="F4" s="309" t="s">
        <v>128</v>
      </c>
      <c r="G4" s="310" t="s">
        <v>131</v>
      </c>
      <c r="H4" s="309" t="s">
        <v>441</v>
      </c>
      <c r="I4" s="310" t="s">
        <v>3269</v>
      </c>
      <c r="J4" s="309" t="s">
        <v>3270</v>
      </c>
      <c r="K4" s="310" t="s">
        <v>275</v>
      </c>
      <c r="L4" s="309" t="s">
        <v>3271</v>
      </c>
      <c r="M4" s="310" t="s">
        <v>326</v>
      </c>
      <c r="N4" s="309" t="s">
        <v>3272</v>
      </c>
      <c r="O4" s="310" t="s">
        <v>3287</v>
      </c>
      <c r="P4" s="328" t="s">
        <v>3384</v>
      </c>
      <c r="Q4" s="560"/>
      <c r="R4" s="3"/>
      <c r="S4" s="417"/>
      <c r="T4" s="415"/>
      <c r="Y4" s="477" t="s">
        <v>3311</v>
      </c>
      <c r="Z4" s="551"/>
    </row>
    <row r="5" spans="1:26" ht="16" x14ac:dyDescent="0.35">
      <c r="A5" s="203">
        <f>_xlfn.XLOOKUP(B5, 'Open Source Tools'!$E$3:$E$206, 'Open Source Tools'!$A$3:$A$206, "Not found")</f>
        <v>96</v>
      </c>
      <c r="B5" s="9" t="s">
        <v>3281</v>
      </c>
      <c r="C5" s="232" t="str">
        <f>VLOOKUP($B5,'Heat Map'!$B$4:$D$33, 3,FALSE)</f>
        <v>Community Energy Management Systems (CEMS)</v>
      </c>
      <c r="D5" s="252" t="e">
        <f>VLOOKUP($B5,#REF!, 9,FALSE)</f>
        <v>#REF!</v>
      </c>
      <c r="E5" s="301">
        <v>3</v>
      </c>
      <c r="F5" s="302">
        <v>2</v>
      </c>
      <c r="G5" s="303">
        <v>3</v>
      </c>
      <c r="H5" s="302">
        <v>2</v>
      </c>
      <c r="I5" s="81">
        <v>1</v>
      </c>
      <c r="J5" s="70">
        <v>2</v>
      </c>
      <c r="K5" s="81">
        <v>2</v>
      </c>
      <c r="L5" s="70">
        <v>2</v>
      </c>
      <c r="M5" s="81">
        <v>1</v>
      </c>
      <c r="N5" s="70">
        <v>1</v>
      </c>
      <c r="O5" s="81">
        <v>2</v>
      </c>
      <c r="P5" s="379">
        <v>1</v>
      </c>
      <c r="Q5" s="313">
        <f t="shared" ref="Q5:Q34" si="0">SUM(E5:P5)</f>
        <v>22</v>
      </c>
      <c r="R5" s="102"/>
      <c r="S5" s="382" t="s">
        <v>1692</v>
      </c>
      <c r="T5" s="162" t="str">
        <f>+VLOOKUP(B5,'Open Source Tools'!$E$6:$W$201,17,FALSE)</f>
        <v>https://volttron.org/</v>
      </c>
      <c r="Y5" s="22">
        <v>0</v>
      </c>
      <c r="Z5" s="300" t="s">
        <v>3273</v>
      </c>
    </row>
    <row r="6" spans="1:26" ht="16" customHeight="1" x14ac:dyDescent="0.35">
      <c r="A6" s="203">
        <f>_xlfn.XLOOKUP(B6, 'Open Source Tools'!$E$3:$E$206, 'Open Source Tools'!$A$3:$A$206, "Not found")</f>
        <v>107</v>
      </c>
      <c r="B6" s="9" t="s">
        <v>1845</v>
      </c>
      <c r="C6" s="232" t="str">
        <f>VLOOKUP($B6,'Heat Map'!$B$4:$D$33, 3,FALSE)</f>
        <v>Home Energy Management Systems (HEMS)</v>
      </c>
      <c r="D6" s="230" t="e">
        <f>VLOOKUP($B6,#REF!, 9,FALSE)</f>
        <v>#REF!</v>
      </c>
      <c r="E6" s="302">
        <v>1</v>
      </c>
      <c r="F6" s="301">
        <v>3</v>
      </c>
      <c r="G6" s="302">
        <v>1</v>
      </c>
      <c r="H6" s="302">
        <v>0</v>
      </c>
      <c r="I6" s="3">
        <v>0</v>
      </c>
      <c r="J6" s="302">
        <v>1</v>
      </c>
      <c r="K6" s="3">
        <v>1</v>
      </c>
      <c r="L6" s="302">
        <v>0</v>
      </c>
      <c r="M6" s="3">
        <v>2</v>
      </c>
      <c r="N6" s="303">
        <v>3</v>
      </c>
      <c r="O6" s="3">
        <v>1</v>
      </c>
      <c r="P6" s="304">
        <v>0</v>
      </c>
      <c r="Q6" s="313">
        <f t="shared" si="0"/>
        <v>13</v>
      </c>
      <c r="R6" s="102"/>
      <c r="S6" s="31" t="s">
        <v>1856</v>
      </c>
      <c r="T6" s="162" t="str">
        <f>+VLOOKUP(B6,'Open Source Tools'!$E$6:$W$201,17,FALSE)</f>
        <v>https://www.openhab.org/</v>
      </c>
      <c r="Y6" s="22">
        <v>1</v>
      </c>
      <c r="Z6" s="300" t="s">
        <v>3274</v>
      </c>
    </row>
    <row r="7" spans="1:26" ht="16" customHeight="1" x14ac:dyDescent="0.4">
      <c r="A7" s="203">
        <f>_xlfn.XLOOKUP(B7, 'Open Source Tools'!$E$3:$E$206, 'Open Source Tools'!$A$3:$A$206, "Not found")</f>
        <v>114</v>
      </c>
      <c r="B7" s="151" t="s">
        <v>1961</v>
      </c>
      <c r="C7" s="232" t="str">
        <f>VLOOKUP($B7,'Heat Map'!$B$4:$D$33, 3,FALSE)</f>
        <v>Demand Response Systems</v>
      </c>
      <c r="D7" s="230" t="e">
        <f>VLOOKUP($B7,#REF!, 9,FALSE)</f>
        <v>#REF!</v>
      </c>
      <c r="E7" s="302">
        <v>2</v>
      </c>
      <c r="F7" s="302">
        <v>1</v>
      </c>
      <c r="G7" s="301">
        <v>3</v>
      </c>
      <c r="H7" s="304">
        <v>0</v>
      </c>
      <c r="I7" s="304">
        <v>0</v>
      </c>
      <c r="J7" s="304">
        <v>1</v>
      </c>
      <c r="K7" s="302">
        <v>1</v>
      </c>
      <c r="L7" s="3">
        <v>1</v>
      </c>
      <c r="M7" s="302">
        <v>1</v>
      </c>
      <c r="N7" s="302">
        <v>1</v>
      </c>
      <c r="O7" s="304">
        <v>1</v>
      </c>
      <c r="P7" s="304">
        <v>0</v>
      </c>
      <c r="Q7" s="313">
        <f t="shared" si="0"/>
        <v>12</v>
      </c>
      <c r="R7" s="102"/>
      <c r="S7" s="31" t="s">
        <v>1972</v>
      </c>
      <c r="T7" s="162" t="str">
        <f>+VLOOKUP(B7,'Open Source Tools'!$E$6:$W$201,17,FALSE)</f>
        <v>https://lfenergy.org/projects/openleadr/</v>
      </c>
      <c r="Y7" s="22">
        <v>2</v>
      </c>
      <c r="Z7" s="300" t="s">
        <v>3275</v>
      </c>
    </row>
    <row r="8" spans="1:26" ht="16" x14ac:dyDescent="0.35">
      <c r="A8" s="203">
        <f>_xlfn.XLOOKUP(B8, 'Open Source Tools'!$E$3:$E$206, 'Open Source Tools'!$A$3:$A$206, "Not found")</f>
        <v>127</v>
      </c>
      <c r="B8" s="9" t="s">
        <v>2148</v>
      </c>
      <c r="C8" s="232" t="str">
        <f>VLOOKUP($B8,'Heat Map'!$B$4:$D$33, 3,FALSE)</f>
        <v>Real-Time Energy Monitoring Platforms</v>
      </c>
      <c r="D8" s="252" t="e">
        <f>VLOOKUP($B8,#REF!, 9,FALSE)</f>
        <v>#REF!</v>
      </c>
      <c r="E8" s="302">
        <v>1</v>
      </c>
      <c r="F8" s="302">
        <v>1</v>
      </c>
      <c r="G8" s="302">
        <v>0</v>
      </c>
      <c r="H8" s="302">
        <v>0</v>
      </c>
      <c r="I8" s="3">
        <v>1</v>
      </c>
      <c r="J8" s="302">
        <v>1</v>
      </c>
      <c r="K8" s="3">
        <v>0</v>
      </c>
      <c r="L8" s="302">
        <v>1</v>
      </c>
      <c r="M8" s="3">
        <v>1</v>
      </c>
      <c r="N8" s="302">
        <v>2</v>
      </c>
      <c r="O8" s="3">
        <v>0</v>
      </c>
      <c r="P8" s="304">
        <v>0</v>
      </c>
      <c r="Q8" s="313">
        <f t="shared" si="0"/>
        <v>8</v>
      </c>
      <c r="R8" s="102"/>
      <c r="S8" s="31" t="s">
        <v>2160</v>
      </c>
      <c r="T8" s="162" t="str">
        <f>+VLOOKUP(B8,'Open Source Tools'!$E$6:$W$201,17,FALSE)</f>
        <v>https://smartcitizen.me/</v>
      </c>
      <c r="Y8" s="321">
        <v>3</v>
      </c>
      <c r="Z8" s="300" t="s">
        <v>3276</v>
      </c>
    </row>
    <row r="9" spans="1:26" ht="16" x14ac:dyDescent="0.35">
      <c r="A9" s="203">
        <f>_xlfn.XLOOKUP(B9, 'Open Source Tools'!$E$3:$E$206, 'Open Source Tools'!$A$3:$A$206, "Not found")</f>
        <v>137</v>
      </c>
      <c r="B9" s="9" t="s">
        <v>2284</v>
      </c>
      <c r="C9" s="232" t="str">
        <f>VLOOKUP($B9,'Heat Map'!$B$4:$D$33, 3,FALSE)</f>
        <v>Energy Analytics Platforms</v>
      </c>
      <c r="D9" s="230" t="e">
        <f>VLOOKUP($B9,#REF!, 9,FALSE)</f>
        <v>#REF!</v>
      </c>
      <c r="E9" s="302">
        <v>0</v>
      </c>
      <c r="F9" s="302">
        <v>0</v>
      </c>
      <c r="G9" s="302">
        <v>0</v>
      </c>
      <c r="H9" s="302">
        <v>0</v>
      </c>
      <c r="I9" s="3">
        <v>2</v>
      </c>
      <c r="J9" s="302">
        <v>2</v>
      </c>
      <c r="K9" s="3">
        <v>0</v>
      </c>
      <c r="L9" s="302">
        <v>0</v>
      </c>
      <c r="M9" s="3">
        <v>0</v>
      </c>
      <c r="N9" s="302">
        <v>1</v>
      </c>
      <c r="O9" s="3">
        <v>0</v>
      </c>
      <c r="P9" s="304">
        <v>0</v>
      </c>
      <c r="Q9" s="313">
        <f t="shared" si="0"/>
        <v>5</v>
      </c>
      <c r="R9" s="102"/>
      <c r="S9" s="382" t="s">
        <v>2294</v>
      </c>
      <c r="T9" s="162" t="str">
        <f>+VLOOKUP(B9,'Open Source Tools'!$E$6:$W$201,17,FALSE)</f>
        <v>https://pvlib-python.readthedocs.io/</v>
      </c>
    </row>
    <row r="10" spans="1:26" ht="16" x14ac:dyDescent="0.35">
      <c r="A10" s="203">
        <f>_xlfn.XLOOKUP(B10, 'Open Source Tools'!$E$3:$E$206, 'Open Source Tools'!$A$3:$A$206, "Not found")</f>
        <v>142</v>
      </c>
      <c r="B10" s="9" t="s">
        <v>2348</v>
      </c>
      <c r="C10" s="232" t="str">
        <f>VLOOKUP($B10,'Heat Map'!$B$4:$D$33, 3,FALSE)</f>
        <v>DSO level modelling</v>
      </c>
      <c r="D10" s="230" t="e">
        <f>VLOOKUP($B10,#REF!, 9,FALSE)</f>
        <v>#REF!</v>
      </c>
      <c r="E10" s="302">
        <v>1</v>
      </c>
      <c r="F10" s="302">
        <v>1</v>
      </c>
      <c r="G10" s="302">
        <v>0</v>
      </c>
      <c r="H10" s="303">
        <v>3</v>
      </c>
      <c r="I10" s="3">
        <v>1</v>
      </c>
      <c r="J10" s="302">
        <v>1</v>
      </c>
      <c r="K10" s="3">
        <v>0</v>
      </c>
      <c r="L10" s="302">
        <v>0</v>
      </c>
      <c r="M10" s="3">
        <v>0</v>
      </c>
      <c r="N10" s="302">
        <v>2</v>
      </c>
      <c r="O10" s="3">
        <v>0</v>
      </c>
      <c r="P10" s="304">
        <v>0</v>
      </c>
      <c r="Q10" s="313">
        <f t="shared" si="0"/>
        <v>9</v>
      </c>
      <c r="R10" s="102"/>
      <c r="S10" s="31" t="s">
        <v>2360</v>
      </c>
      <c r="T10" s="162" t="str">
        <f>+VLOOKUP(B10,'Open Source Tools'!$E$6:$W$201,17,FALSE)</f>
        <v>https://www.openmodelica.org/</v>
      </c>
    </row>
    <row r="11" spans="1:26" ht="16" x14ac:dyDescent="0.35">
      <c r="A11" s="203">
        <f>_xlfn.XLOOKUP(B11, 'Open Source Tools'!$E$3:$E$206, 'Open Source Tools'!$A$3:$A$206, "Not found")</f>
        <v>99</v>
      </c>
      <c r="B11" s="9" t="s">
        <v>1725</v>
      </c>
      <c r="C11" s="232" t="str">
        <f>VLOOKUP($B11,'Heat Map'!$B$4:$D$33, 3,FALSE)</f>
        <v>Community level Modelling</v>
      </c>
      <c r="D11" s="230" t="e">
        <f>VLOOKUP($B11,#REF!, 9,FALSE)</f>
        <v>#REF!</v>
      </c>
      <c r="E11" s="302">
        <v>1</v>
      </c>
      <c r="F11" s="302">
        <v>0</v>
      </c>
      <c r="G11" s="302">
        <v>2</v>
      </c>
      <c r="H11" s="301">
        <v>3</v>
      </c>
      <c r="I11" s="3">
        <v>2</v>
      </c>
      <c r="J11" s="302">
        <v>2</v>
      </c>
      <c r="K11" s="3">
        <v>2</v>
      </c>
      <c r="L11" s="302">
        <v>1</v>
      </c>
      <c r="M11" s="3">
        <v>1</v>
      </c>
      <c r="N11" s="302">
        <v>2</v>
      </c>
      <c r="O11" s="3">
        <v>1</v>
      </c>
      <c r="P11" s="304">
        <v>0</v>
      </c>
      <c r="Q11" s="313">
        <f t="shared" si="0"/>
        <v>17</v>
      </c>
      <c r="R11" s="102"/>
      <c r="S11" s="31" t="s">
        <v>1735</v>
      </c>
      <c r="T11" s="162" t="str">
        <f>+VLOOKUP(B11,'Open Source Tools'!$E$6:$W$201,17,FALSE)</f>
        <v>https://www.pypsa.org/</v>
      </c>
    </row>
    <row r="12" spans="1:26" ht="16" x14ac:dyDescent="0.35">
      <c r="A12" s="203">
        <f>_xlfn.XLOOKUP(B12, 'Open Source Tools'!$E$3:$E$206, 'Open Source Tools'!$A$3:$A$206, "Not found")</f>
        <v>159</v>
      </c>
      <c r="B12" s="9" t="s">
        <v>2578</v>
      </c>
      <c r="C12" s="232" t="str">
        <f>VLOOKUP($B12,'Heat Map'!$B$4:$D$33, 3,FALSE)</f>
        <v>Individual Unit modelling</v>
      </c>
      <c r="D12" s="230" t="e">
        <f>VLOOKUP($B12,#REF!, 9,FALSE)</f>
        <v>#REF!</v>
      </c>
      <c r="E12" s="302">
        <v>3</v>
      </c>
      <c r="F12" s="302">
        <v>1</v>
      </c>
      <c r="G12" s="302">
        <v>1</v>
      </c>
      <c r="H12" s="302">
        <v>2</v>
      </c>
      <c r="I12" s="305">
        <v>2</v>
      </c>
      <c r="J12" s="302">
        <v>2</v>
      </c>
      <c r="K12" s="3">
        <v>0</v>
      </c>
      <c r="L12" s="302">
        <v>0</v>
      </c>
      <c r="M12" s="3">
        <v>0</v>
      </c>
      <c r="N12" s="302">
        <v>2</v>
      </c>
      <c r="O12" s="3">
        <v>0</v>
      </c>
      <c r="P12" s="304">
        <v>0</v>
      </c>
      <c r="Q12" s="313">
        <f t="shared" si="0"/>
        <v>13</v>
      </c>
      <c r="R12" s="102"/>
      <c r="S12" s="31" t="s">
        <v>2588</v>
      </c>
      <c r="T12" s="162" t="str">
        <f>+VLOOKUP(B12,'Open Source Tools'!$E$6:$W$201,17,FALSE)</f>
        <v>https://resstock.nrel.gov/</v>
      </c>
    </row>
    <row r="13" spans="1:26" ht="16" x14ac:dyDescent="0.35">
      <c r="A13" s="203">
        <f>_xlfn.XLOOKUP(B13, 'Open Source Tools'!$E$3:$E$206, 'Open Source Tools'!$A$3:$A$206, "Not found")</f>
        <v>167</v>
      </c>
      <c r="B13" s="9" t="s">
        <v>2679</v>
      </c>
      <c r="C13" s="232" t="str">
        <f>VLOOKUP($B13,'Heat Map'!$B$4:$D$33, 3,FALSE)</f>
        <v>Energy System Simulation Tools (e.g., HOMER, PLEXOS)</v>
      </c>
      <c r="D13" s="230" t="e">
        <f>VLOOKUP($B13,#REF!, 9,FALSE)</f>
        <v>#REF!</v>
      </c>
      <c r="E13" s="302">
        <v>3</v>
      </c>
      <c r="F13" s="302">
        <v>0</v>
      </c>
      <c r="G13" s="3">
        <v>2</v>
      </c>
      <c r="H13" s="302">
        <v>0</v>
      </c>
      <c r="I13" s="3">
        <v>1</v>
      </c>
      <c r="J13" s="302">
        <v>1</v>
      </c>
      <c r="K13" s="3">
        <v>0</v>
      </c>
      <c r="L13" s="302">
        <v>0</v>
      </c>
      <c r="M13" s="3">
        <v>0</v>
      </c>
      <c r="N13" s="302">
        <v>1</v>
      </c>
      <c r="O13" s="3">
        <v>0</v>
      </c>
      <c r="P13" s="304">
        <v>0</v>
      </c>
      <c r="Q13" s="313">
        <f t="shared" si="0"/>
        <v>8</v>
      </c>
      <c r="R13" s="102"/>
      <c r="S13" s="382" t="s">
        <v>2689</v>
      </c>
      <c r="T13" s="162" t="str">
        <f>+VLOOKUP(B13,'Open Source Tools'!$E$6:$W$201,17,FALSE)</f>
        <v>https://matpower.org</v>
      </c>
    </row>
    <row r="14" spans="1:26" ht="16" customHeight="1" x14ac:dyDescent="0.35">
      <c r="A14" s="203">
        <f>_xlfn.XLOOKUP(B14, 'Open Source Tools'!$E$3:$E$206, 'Open Source Tools'!$A$3:$A$206, "Not found")</f>
        <v>174</v>
      </c>
      <c r="B14" s="9" t="s">
        <v>2764</v>
      </c>
      <c r="C14" s="232" t="str">
        <f>VLOOKUP($B14,'Heat Map'!$B$4:$D$33, 3,FALSE)</f>
        <v>Collaborative Decision-Making Platforms</v>
      </c>
      <c r="D14" s="230" t="e">
        <f>VLOOKUP($B14,#REF!, 9,FALSE)</f>
        <v>#REF!</v>
      </c>
      <c r="E14" s="302">
        <v>0</v>
      </c>
      <c r="F14" s="302">
        <v>0</v>
      </c>
      <c r="G14" s="3">
        <v>0</v>
      </c>
      <c r="H14" s="302">
        <v>0</v>
      </c>
      <c r="I14" s="3">
        <v>0</v>
      </c>
      <c r="J14" s="302">
        <v>0</v>
      </c>
      <c r="K14" s="3">
        <v>0</v>
      </c>
      <c r="L14" s="302">
        <v>0</v>
      </c>
      <c r="M14" s="3">
        <v>0</v>
      </c>
      <c r="N14" s="303">
        <v>3</v>
      </c>
      <c r="O14" s="3">
        <v>0</v>
      </c>
      <c r="P14" s="304">
        <v>0</v>
      </c>
      <c r="Q14" s="313">
        <f t="shared" si="0"/>
        <v>3</v>
      </c>
      <c r="R14" s="102"/>
      <c r="S14" s="31" t="s">
        <v>2776</v>
      </c>
      <c r="T14" s="162" t="str">
        <f>+VLOOKUP(B14,'Open Source Tools'!$E$6:$W$201,17,FALSE)</f>
        <v>https://www.loomio.org</v>
      </c>
    </row>
    <row r="15" spans="1:26" ht="16" x14ac:dyDescent="0.35">
      <c r="A15" s="203">
        <f>_xlfn.XLOOKUP(B15, 'Open Source Tools'!$E$3:$E$206, 'Open Source Tools'!$A$3:$A$206, "Not found")</f>
        <v>182</v>
      </c>
      <c r="B15" s="9" t="s">
        <v>2861</v>
      </c>
      <c r="C15" s="232" t="str">
        <f>VLOOKUP($B15,'Heat Map'!$B$4:$D$33, 3,FALSE)</f>
        <v>Automated Billing Platforms (Dynamic pricing Billing systems)</v>
      </c>
      <c r="D15" s="230" t="e">
        <f>VLOOKUP($B15,#REF!, 9,FALSE)</f>
        <v>#REF!</v>
      </c>
      <c r="E15" s="302">
        <v>1</v>
      </c>
      <c r="F15" s="302">
        <v>0</v>
      </c>
      <c r="G15" s="3">
        <v>0</v>
      </c>
      <c r="H15" s="302">
        <v>0</v>
      </c>
      <c r="I15" s="3">
        <v>0</v>
      </c>
      <c r="J15" s="302">
        <v>0</v>
      </c>
      <c r="K15" s="3">
        <v>0</v>
      </c>
      <c r="L15" s="302">
        <v>0</v>
      </c>
      <c r="M15" s="3">
        <v>0</v>
      </c>
      <c r="N15" s="302">
        <v>2</v>
      </c>
      <c r="O15" s="3">
        <v>0</v>
      </c>
      <c r="P15" s="304">
        <v>3</v>
      </c>
      <c r="Q15" s="313">
        <f t="shared" si="0"/>
        <v>6</v>
      </c>
      <c r="R15" s="102"/>
      <c r="S15" s="31" t="s">
        <v>2871</v>
      </c>
      <c r="T15" s="162" t="str">
        <f>+VLOOKUP(B15,'Open Source Tools'!$E$6:$W$201,17,FALSE)</f>
        <v>https://frappe.io/erpnext</v>
      </c>
    </row>
    <row r="16" spans="1:26" ht="16" x14ac:dyDescent="0.35">
      <c r="A16" s="203">
        <f>_xlfn.XLOOKUP(B16, 'Open Source Tools'!$E$3:$E$206, 'Open Source Tools'!$A$3:$A$206, "Not found")</f>
        <v>47</v>
      </c>
      <c r="B16" s="9" t="s">
        <v>1101</v>
      </c>
      <c r="C16" s="232" t="str">
        <f>VLOOKUP($B16,'Heat Map'!$B$4:$D$33, 3,FALSE)</f>
        <v>AI-Powered Energy Forecasting</v>
      </c>
      <c r="D16" s="230" t="e">
        <f>VLOOKUP($B16,#REF!, 9,FALSE)</f>
        <v>#REF!</v>
      </c>
      <c r="E16" s="302">
        <v>2</v>
      </c>
      <c r="F16" s="302">
        <v>1</v>
      </c>
      <c r="G16" s="3">
        <v>2</v>
      </c>
      <c r="H16" s="302">
        <v>2</v>
      </c>
      <c r="I16" s="301">
        <v>3</v>
      </c>
      <c r="J16" s="302">
        <v>3</v>
      </c>
      <c r="K16" s="302">
        <v>1</v>
      </c>
      <c r="L16" s="302">
        <v>1</v>
      </c>
      <c r="M16" s="302">
        <v>1</v>
      </c>
      <c r="N16" s="302">
        <v>2</v>
      </c>
      <c r="O16" s="3">
        <v>1</v>
      </c>
      <c r="P16" s="304">
        <v>0</v>
      </c>
      <c r="Q16" s="313">
        <f t="shared" ref="Q16:Q24" si="1">SUM(E16:P16)</f>
        <v>19</v>
      </c>
      <c r="R16" s="102"/>
      <c r="S16" s="31" t="s">
        <v>1114</v>
      </c>
      <c r="T16" s="162" t="str">
        <f>+VLOOKUP(B16,'Open Source Tools'!$E$6:$W$201,17,FALSE)</f>
        <v>https://openstef.github.io/openstef/</v>
      </c>
    </row>
    <row r="17" spans="1:20" ht="16" customHeight="1" x14ac:dyDescent="0.35">
      <c r="A17" s="203">
        <f>_xlfn.XLOOKUP(B17, 'Open Source Tools'!$E$3:$E$206, 'Open Source Tools'!$A$3:$A$206, "Not found")</f>
        <v>53</v>
      </c>
      <c r="B17" s="9" t="s">
        <v>1177</v>
      </c>
      <c r="C17" s="232" t="str">
        <f>VLOOKUP($B17,'Heat Map'!$B$4:$D$33, 3,FALSE)</f>
        <v>Machine Learning Algorithms</v>
      </c>
      <c r="D17" s="230" t="e">
        <f>VLOOKUP($B17,#REF!, 9,FALSE)</f>
        <v>#REF!</v>
      </c>
      <c r="E17" s="302">
        <v>0</v>
      </c>
      <c r="F17" s="302">
        <v>0</v>
      </c>
      <c r="G17" s="3">
        <v>0</v>
      </c>
      <c r="H17" s="302">
        <v>0</v>
      </c>
      <c r="I17" s="303">
        <v>3</v>
      </c>
      <c r="J17" s="301">
        <v>3</v>
      </c>
      <c r="K17" s="303">
        <v>3</v>
      </c>
      <c r="L17" s="302">
        <v>1</v>
      </c>
      <c r="M17" s="302">
        <v>0</v>
      </c>
      <c r="N17" s="302">
        <v>1</v>
      </c>
      <c r="O17" s="3">
        <v>0</v>
      </c>
      <c r="P17" s="304">
        <v>0</v>
      </c>
      <c r="Q17" s="313">
        <f t="shared" si="1"/>
        <v>11</v>
      </c>
      <c r="R17" s="102"/>
      <c r="S17" s="31" t="s">
        <v>1187</v>
      </c>
      <c r="T17" s="162" t="str">
        <f>+VLOOKUP(B17,'Open Source Tools'!$E$6:$W$201,17,FALSE)</f>
        <v>https://pytorch.org/</v>
      </c>
    </row>
    <row r="18" spans="1:20" ht="16" x14ac:dyDescent="0.35">
      <c r="A18" s="203">
        <f>_xlfn.XLOOKUP(B18, 'Open Source Tools'!$E$3:$E$206, 'Open Source Tools'!$A$3:$A$206, "Not found")</f>
        <v>57</v>
      </c>
      <c r="B18" s="9" t="s">
        <v>1221</v>
      </c>
      <c r="C18" s="232" t="str">
        <f>VLOOKUP($B18,'Heat Map'!$B$4:$D$33, 3,FALSE)</f>
        <v>AI-Driven Energy Optimization</v>
      </c>
      <c r="D18" s="230" t="e">
        <f>VLOOKUP($B18,#REF!, 9,FALSE)</f>
        <v>#REF!</v>
      </c>
      <c r="E18" s="302">
        <v>2</v>
      </c>
      <c r="F18" s="302">
        <v>1</v>
      </c>
      <c r="G18" s="3">
        <v>2</v>
      </c>
      <c r="H18" s="302">
        <v>3</v>
      </c>
      <c r="I18" s="302">
        <v>2</v>
      </c>
      <c r="J18" s="302">
        <v>2</v>
      </c>
      <c r="K18" s="301">
        <v>2</v>
      </c>
      <c r="L18" s="302">
        <v>2</v>
      </c>
      <c r="M18" s="302">
        <v>1</v>
      </c>
      <c r="N18" s="302">
        <v>2</v>
      </c>
      <c r="O18" s="3">
        <v>1</v>
      </c>
      <c r="P18" s="304">
        <v>0</v>
      </c>
      <c r="Q18" s="313">
        <f t="shared" si="1"/>
        <v>20</v>
      </c>
      <c r="R18" s="102"/>
      <c r="S18" s="31" t="s">
        <v>1232</v>
      </c>
      <c r="T18" s="162" t="str">
        <f>+VLOOKUP(B18,'Open Source Tools'!$E$6:$W$201,17,FALSE)</f>
        <v>https://mesmo-dev.github.io/mesmo/develop/index.html</v>
      </c>
    </row>
    <row r="19" spans="1:20" ht="16" x14ac:dyDescent="0.35">
      <c r="A19" s="203">
        <f>_xlfn.XLOOKUP(B19, 'Open Source Tools'!$E$3:$E$206, 'Open Source Tools'!$A$3:$A$206, "Not found")</f>
        <v>61</v>
      </c>
      <c r="B19" s="9" t="s">
        <v>1266</v>
      </c>
      <c r="C19" s="232" t="str">
        <f>VLOOKUP($B19,'Heat Map'!$B$4:$D$33, 3,FALSE)</f>
        <v>Anomaly Detection in Energy Systems</v>
      </c>
      <c r="D19" s="230" t="e">
        <f>VLOOKUP($B19,#REF!, 9,FALSE)</f>
        <v>#REF!</v>
      </c>
      <c r="E19" s="302">
        <v>0</v>
      </c>
      <c r="F19" s="302">
        <v>0</v>
      </c>
      <c r="G19" s="3">
        <v>0</v>
      </c>
      <c r="H19" s="302">
        <v>0</v>
      </c>
      <c r="I19" s="302">
        <v>0</v>
      </c>
      <c r="J19" s="303">
        <v>3</v>
      </c>
      <c r="K19" s="302">
        <v>1</v>
      </c>
      <c r="L19" s="301">
        <v>3</v>
      </c>
      <c r="M19" s="302">
        <v>0</v>
      </c>
      <c r="N19" s="302">
        <v>1</v>
      </c>
      <c r="O19" s="3">
        <v>0</v>
      </c>
      <c r="P19" s="304">
        <v>0</v>
      </c>
      <c r="Q19" s="313">
        <f t="shared" si="1"/>
        <v>8</v>
      </c>
      <c r="R19" s="102"/>
      <c r="S19" s="31" t="s">
        <v>1275</v>
      </c>
      <c r="T19" s="162" t="str">
        <f>+VLOOKUP(B19,'Open Source Tools'!$E$6:$W$201,17,FALSE)</f>
        <v>https://anomalib.readthedocs.io/en/latest/</v>
      </c>
    </row>
    <row r="20" spans="1:20" ht="16" customHeight="1" x14ac:dyDescent="0.35">
      <c r="A20" s="203">
        <f>_xlfn.XLOOKUP(B20, 'Open Source Tools'!$E$3:$E$206, 'Open Source Tools'!$A$3:$A$206, "Not found")</f>
        <v>62</v>
      </c>
      <c r="B20" s="9" t="s">
        <v>1276</v>
      </c>
      <c r="C20" s="232" t="str">
        <f>VLOOKUP($B20,'Heat Map'!$B$4:$D$33, 3,FALSE)</f>
        <v>AI for Predictive Maintenance</v>
      </c>
      <c r="D20" s="230" t="e">
        <f>VLOOKUP($B20,#REF!, 9,FALSE)</f>
        <v>#REF!</v>
      </c>
      <c r="E20" s="302">
        <v>1</v>
      </c>
      <c r="F20" s="302">
        <v>1</v>
      </c>
      <c r="G20" s="3">
        <v>2</v>
      </c>
      <c r="H20" s="302">
        <v>1</v>
      </c>
      <c r="I20" s="303">
        <v>3</v>
      </c>
      <c r="J20" s="303">
        <v>3</v>
      </c>
      <c r="K20" s="303">
        <v>3</v>
      </c>
      <c r="L20" s="303">
        <v>3</v>
      </c>
      <c r="M20" s="302">
        <v>0</v>
      </c>
      <c r="N20" s="302">
        <v>1</v>
      </c>
      <c r="O20" s="3">
        <v>0</v>
      </c>
      <c r="P20" s="304">
        <v>0</v>
      </c>
      <c r="Q20" s="313">
        <f t="shared" si="1"/>
        <v>18</v>
      </c>
      <c r="R20" s="102"/>
      <c r="S20" s="31" t="s">
        <v>1289</v>
      </c>
      <c r="T20" s="162" t="str">
        <f>+VLOOKUP(B20,'Open Source Tools'!$E$6:$W$201,17,FALSE)</f>
        <v>https://learn.microsoft.com/en-us/azure/ai-services/anomaly-detector/concepts/multivariate-architecture</v>
      </c>
    </row>
    <row r="21" spans="1:20" ht="16" x14ac:dyDescent="0.35">
      <c r="A21" s="203">
        <f>_xlfn.XLOOKUP(B21, 'Open Source Tools'!$E$3:$E$206, 'Open Source Tools'!$A$3:$A$206, "Not found")</f>
        <v>73</v>
      </c>
      <c r="B21" s="9" t="s">
        <v>1411</v>
      </c>
      <c r="C21" s="232" t="str">
        <f>VLOOKUP($B21,'Heat Map'!$B$4:$D$33, 3,FALSE)</f>
        <v>Energy Dashboards</v>
      </c>
      <c r="D21" s="230" t="e">
        <f>VLOOKUP($B21,#REF!, 9,FALSE)</f>
        <v>#REF!</v>
      </c>
      <c r="E21" s="302">
        <v>2</v>
      </c>
      <c r="F21" s="302">
        <v>2</v>
      </c>
      <c r="G21" s="3">
        <v>2</v>
      </c>
      <c r="H21" s="302">
        <v>1</v>
      </c>
      <c r="I21" s="302">
        <v>2</v>
      </c>
      <c r="J21" s="302">
        <v>2</v>
      </c>
      <c r="K21" s="302">
        <v>1</v>
      </c>
      <c r="L21" s="302">
        <v>2</v>
      </c>
      <c r="M21" s="301">
        <v>3</v>
      </c>
      <c r="N21" s="303">
        <v>3</v>
      </c>
      <c r="O21" s="3">
        <v>1</v>
      </c>
      <c r="P21" s="304">
        <v>1</v>
      </c>
      <c r="Q21" s="313">
        <f t="shared" si="1"/>
        <v>22</v>
      </c>
      <c r="R21" s="102"/>
      <c r="S21" s="31" t="s">
        <v>1421</v>
      </c>
      <c r="T21" s="162" t="str">
        <f>+VLOOKUP(B21,'Open Source Tools'!$E$6:$W$201,17,FALSE)</f>
        <v>https://thingsboard.io/</v>
      </c>
    </row>
    <row r="22" spans="1:20" ht="16" x14ac:dyDescent="0.35">
      <c r="A22" s="203">
        <f>_xlfn.XLOOKUP(B22, 'Open Source Tools'!$E$3:$E$206, 'Open Source Tools'!$A$3:$A$206, "Not found")</f>
        <v>74</v>
      </c>
      <c r="B22" s="9" t="s">
        <v>1423</v>
      </c>
      <c r="C22" s="232" t="str">
        <f>VLOOKUP($B22,'Heat Map'!$B$4:$D$33, 3,FALSE)</f>
        <v>Data Visualization Tools</v>
      </c>
      <c r="D22" s="230" t="e">
        <f>VLOOKUP($B22,#REF!, 9,FALSE)</f>
        <v>#REF!</v>
      </c>
      <c r="E22" s="302">
        <v>0</v>
      </c>
      <c r="F22" s="302">
        <v>0</v>
      </c>
      <c r="G22" s="3">
        <v>0</v>
      </c>
      <c r="H22" s="302">
        <v>0</v>
      </c>
      <c r="I22" s="302">
        <v>0</v>
      </c>
      <c r="J22" s="302">
        <v>0</v>
      </c>
      <c r="K22" s="302">
        <v>0</v>
      </c>
      <c r="L22" s="302">
        <v>1</v>
      </c>
      <c r="M22" s="303">
        <v>3</v>
      </c>
      <c r="N22" s="301">
        <v>3</v>
      </c>
      <c r="O22" s="3">
        <v>0</v>
      </c>
      <c r="P22" s="304">
        <v>0</v>
      </c>
      <c r="Q22" s="313">
        <f t="shared" si="1"/>
        <v>7</v>
      </c>
      <c r="R22" s="102"/>
      <c r="S22" s="31" t="s">
        <v>1435</v>
      </c>
      <c r="T22" s="162" t="str">
        <f>+VLOOKUP(B22,'Open Source Tools'!$E$6:$W$201,17,FALSE)</f>
        <v>https://grafana.com/</v>
      </c>
    </row>
    <row r="23" spans="1:20" ht="16" x14ac:dyDescent="0.35">
      <c r="A23" s="203">
        <f>_xlfn.XLOOKUP(B23, 'Open Source Tools'!$E$3:$E$206, 'Open Source Tools'!$A$3:$A$206, "Not found")</f>
        <v>88</v>
      </c>
      <c r="B23" s="9" t="s">
        <v>1595</v>
      </c>
      <c r="C23" s="232" t="str">
        <f>VLOOKUP($B23,'Heat Map'!$B$4:$D$33, 3,FALSE)</f>
        <v>Energy Sharing Apps</v>
      </c>
      <c r="D23" s="230" t="e">
        <f>VLOOKUP($B23,#REF!, 9,FALSE)</f>
        <v>#REF!</v>
      </c>
      <c r="E23" s="302">
        <v>1</v>
      </c>
      <c r="F23" s="302">
        <v>0</v>
      </c>
      <c r="G23" s="3">
        <v>0</v>
      </c>
      <c r="H23" s="302">
        <v>2</v>
      </c>
      <c r="I23" s="302">
        <v>0</v>
      </c>
      <c r="J23" s="302">
        <v>0</v>
      </c>
      <c r="K23" s="302">
        <v>1</v>
      </c>
      <c r="L23" s="302">
        <v>0</v>
      </c>
      <c r="M23" s="302">
        <v>1</v>
      </c>
      <c r="N23" s="302">
        <v>1</v>
      </c>
      <c r="O23" s="306">
        <v>3</v>
      </c>
      <c r="P23" s="380">
        <v>2</v>
      </c>
      <c r="Q23" s="313">
        <f t="shared" si="1"/>
        <v>11</v>
      </c>
      <c r="R23" s="102"/>
      <c r="S23" s="382" t="s">
        <v>1604</v>
      </c>
      <c r="T23" s="162" t="str">
        <f>+VLOOKUP(B23,'Open Source Tools'!$E$6:$W$201,17,FALSE)</f>
        <v>https://www.ceem.unsw.edu.au/open-source-tools</v>
      </c>
    </row>
    <row r="24" spans="1:20" ht="16" x14ac:dyDescent="0.35">
      <c r="A24" s="203">
        <f>_xlfn.XLOOKUP(B24, 'Open Source Tools'!$E$3:$E$206, 'Open Source Tools'!$A$3:$A$206, "Not found")</f>
        <v>91</v>
      </c>
      <c r="B24" s="9" t="s">
        <v>1626</v>
      </c>
      <c r="C24" s="232" t="str">
        <f>VLOOKUP($B24,'Heat Map'!$B$4:$D$33, 3,FALSE)</f>
        <v>Energy Pooling Platforms</v>
      </c>
      <c r="D24" s="230" t="e">
        <f>VLOOKUP($B24,#REF!, 9,FALSE)</f>
        <v>#REF!</v>
      </c>
      <c r="E24" s="302">
        <v>2</v>
      </c>
      <c r="F24" s="302">
        <v>1</v>
      </c>
      <c r="G24" s="3">
        <v>1</v>
      </c>
      <c r="H24" s="302">
        <v>2</v>
      </c>
      <c r="I24" s="302">
        <v>1</v>
      </c>
      <c r="J24" s="302">
        <v>1</v>
      </c>
      <c r="K24" s="302">
        <v>2</v>
      </c>
      <c r="L24" s="302">
        <v>0</v>
      </c>
      <c r="M24" s="302">
        <v>0</v>
      </c>
      <c r="N24" s="302">
        <v>0</v>
      </c>
      <c r="O24" s="304">
        <v>2</v>
      </c>
      <c r="P24" s="304">
        <v>1</v>
      </c>
      <c r="Q24" s="313">
        <f t="shared" si="1"/>
        <v>13</v>
      </c>
      <c r="R24" s="102"/>
      <c r="S24" s="31" t="s">
        <v>1633</v>
      </c>
      <c r="T24" s="162" t="str">
        <f>+VLOOKUP(B24,'Open Source Tools'!$E$6:$W$201,17,FALSE)</f>
        <v>https://www.enflow.org/</v>
      </c>
    </row>
    <row r="25" spans="1:20" ht="16" x14ac:dyDescent="0.35">
      <c r="A25" s="203">
        <f>_xlfn.XLOOKUP(B25, 'Open Source Tools'!$E$3:$E$206, 'Open Source Tools'!$A$3:$A$206, "Not found")</f>
        <v>103</v>
      </c>
      <c r="B25" s="9" t="s">
        <v>1784</v>
      </c>
      <c r="C25" s="232" t="str">
        <f>VLOOKUP($B25,'Heat Map'!$B$4:$D$33, 3,FALSE)</f>
        <v>Peer-to-Peer (P2P) Energy Trading Platforms</v>
      </c>
      <c r="D25" s="230" t="e">
        <f>VLOOKUP($B25,#REF!, 9,FALSE)</f>
        <v>#REF!</v>
      </c>
      <c r="E25" s="302">
        <v>2</v>
      </c>
      <c r="F25" s="302">
        <v>2</v>
      </c>
      <c r="G25" s="119">
        <v>3</v>
      </c>
      <c r="H25" s="302">
        <v>1</v>
      </c>
      <c r="I25" s="3">
        <v>1</v>
      </c>
      <c r="J25" s="302">
        <v>1</v>
      </c>
      <c r="K25" s="3">
        <v>1</v>
      </c>
      <c r="L25" s="302">
        <v>1</v>
      </c>
      <c r="M25" s="3">
        <v>1</v>
      </c>
      <c r="N25" s="302">
        <v>2</v>
      </c>
      <c r="O25" s="3">
        <v>2</v>
      </c>
      <c r="P25" s="304">
        <v>1</v>
      </c>
      <c r="Q25" s="313">
        <f t="shared" si="0"/>
        <v>18</v>
      </c>
      <c r="R25" s="102"/>
      <c r="S25" s="382" t="s">
        <v>1796</v>
      </c>
      <c r="T25" s="162" t="str">
        <f>+VLOOKUP(B25,'Open Source Tools'!$E$6:$W$201,17,FALSE)</f>
        <v>https://flexiblepower.github.io/</v>
      </c>
    </row>
    <row r="26" spans="1:20" ht="16" x14ac:dyDescent="0.4">
      <c r="A26" s="203">
        <f>_xlfn.XLOOKUP(B26, 'Open Source Tools'!$E$3:$E$206, 'Open Source Tools'!$A$3:$A$206, "Not found")</f>
        <v>5</v>
      </c>
      <c r="B26" s="151" t="s">
        <v>570</v>
      </c>
      <c r="C26" s="232" t="str">
        <f>VLOOKUP($B26,'Heat Map'!$B$4:$D$33, 3,FALSE)</f>
        <v>Virtual Power Plants (VPPs)</v>
      </c>
      <c r="D26" s="230" t="e">
        <f>VLOOKUP($B26,#REF!, 9,FALSE)</f>
        <v>#REF!</v>
      </c>
      <c r="E26" s="301">
        <v>3</v>
      </c>
      <c r="F26" s="302">
        <v>0</v>
      </c>
      <c r="G26" s="3">
        <v>2</v>
      </c>
      <c r="H26" s="302">
        <v>2</v>
      </c>
      <c r="I26" s="3">
        <v>1</v>
      </c>
      <c r="J26" s="302">
        <v>1</v>
      </c>
      <c r="K26" s="3">
        <v>1</v>
      </c>
      <c r="L26" s="302">
        <v>1</v>
      </c>
      <c r="M26" s="3">
        <v>2</v>
      </c>
      <c r="N26" s="302">
        <v>2</v>
      </c>
      <c r="O26" s="119">
        <v>3</v>
      </c>
      <c r="P26" s="381">
        <v>2</v>
      </c>
      <c r="Q26" s="313">
        <f t="shared" si="0"/>
        <v>20</v>
      </c>
      <c r="R26" s="102"/>
      <c r="S26" s="31" t="s">
        <v>581</v>
      </c>
      <c r="T26" s="162" t="str">
        <f>+VLOOKUP(B26,'Open Source Tools'!$E$6:$W$201,17,FALSE)</f>
        <v>https://www.rescoopvpp.eu/</v>
      </c>
    </row>
    <row r="27" spans="1:20" ht="16" x14ac:dyDescent="0.35">
      <c r="A27" s="203">
        <f>_xlfn.XLOOKUP(B27, 'Open Source Tools'!$E$3:$E$206, 'Open Source Tools'!$A$3:$A$206, "Not found")</f>
        <v>10</v>
      </c>
      <c r="B27" s="9" t="s">
        <v>631</v>
      </c>
      <c r="C27" s="232" t="str">
        <f>VLOOKUP($B27,'Heat Map'!$B$4:$D$33, 3,FALSE)</f>
        <v>Energy Trading Tool</v>
      </c>
      <c r="D27" s="230" t="e">
        <f>VLOOKUP($B27,#REF!, 9,FALSE)</f>
        <v>#REF!</v>
      </c>
      <c r="E27" s="301">
        <v>3</v>
      </c>
      <c r="F27" s="302">
        <v>0</v>
      </c>
      <c r="G27" s="3">
        <v>2</v>
      </c>
      <c r="H27" s="302">
        <v>2</v>
      </c>
      <c r="I27" s="302">
        <v>1</v>
      </c>
      <c r="J27" s="302">
        <v>1</v>
      </c>
      <c r="K27" s="302">
        <v>1</v>
      </c>
      <c r="L27" s="302">
        <v>1</v>
      </c>
      <c r="M27" s="302">
        <v>1</v>
      </c>
      <c r="N27" s="302">
        <v>1</v>
      </c>
      <c r="O27" s="119">
        <v>3</v>
      </c>
      <c r="P27" s="381">
        <v>2</v>
      </c>
      <c r="Q27" s="313">
        <f t="shared" si="0"/>
        <v>18</v>
      </c>
      <c r="R27" s="102"/>
      <c r="S27" s="31" t="s">
        <v>641</v>
      </c>
      <c r="T27" s="162" t="str">
        <f>+VLOOKUP(B27,'Open Source Tools'!$E$6:$W$201,17,FALSE)</f>
        <v>https://gridsingularity.com/</v>
      </c>
    </row>
    <row r="28" spans="1:20" ht="16" x14ac:dyDescent="0.35">
      <c r="A28" s="203">
        <f>_xlfn.XLOOKUP(B28, 'Open Source Tools'!$E$3:$E$206, 'Open Source Tools'!$A$3:$A$206, "Not found")</f>
        <v>13</v>
      </c>
      <c r="B28" s="9" t="s">
        <v>670</v>
      </c>
      <c r="C28" s="232" t="str">
        <f>VLOOKUP($B28,'Heat Map'!$B$4:$D$33, 3,FALSE)</f>
        <v>Grid Balancing Tools</v>
      </c>
      <c r="D28" s="230" t="e">
        <f>VLOOKUP($B28,#REF!, 9,FALSE)</f>
        <v>#REF!</v>
      </c>
      <c r="E28" s="302">
        <v>1</v>
      </c>
      <c r="F28" s="302">
        <v>0</v>
      </c>
      <c r="G28" s="3">
        <v>1</v>
      </c>
      <c r="H28" s="302">
        <v>1</v>
      </c>
      <c r="I28" s="302">
        <v>1</v>
      </c>
      <c r="J28" s="302">
        <v>1</v>
      </c>
      <c r="K28" s="302">
        <v>0</v>
      </c>
      <c r="L28" s="302">
        <v>0</v>
      </c>
      <c r="M28" s="302">
        <v>1</v>
      </c>
      <c r="N28" s="302">
        <v>1</v>
      </c>
      <c r="O28" s="3">
        <v>0</v>
      </c>
      <c r="P28" s="304">
        <v>0</v>
      </c>
      <c r="Q28" s="313">
        <f t="shared" si="0"/>
        <v>7</v>
      </c>
      <c r="R28" s="102"/>
      <c r="S28" s="31" t="s">
        <v>3186</v>
      </c>
      <c r="T28" s="162" t="str">
        <f>+VLOOKUP(B28,'Open Source Tools'!$E$6:$W$201,17,FALSE)</f>
        <v>https://www.powsybl.org/index.html</v>
      </c>
    </row>
    <row r="29" spans="1:20" ht="16" x14ac:dyDescent="0.35">
      <c r="A29" s="203">
        <f>_xlfn.XLOOKUP(B29, 'Open Source Tools'!$E$3:$E$206, 'Open Source Tools'!$A$3:$A$206, "Not found")</f>
        <v>16</v>
      </c>
      <c r="B29" s="9" t="s">
        <v>689</v>
      </c>
      <c r="C29" s="232" t="str">
        <f>VLOOKUP($B29,'Heat Map'!$B$4:$D$33, 3,FALSE)</f>
        <v>Dynamic Pricing Platform</v>
      </c>
      <c r="D29" s="230" t="e">
        <f>VLOOKUP($B29,#REF!, 9,FALSE)</f>
        <v>#REF!</v>
      </c>
      <c r="E29" s="301">
        <v>3</v>
      </c>
      <c r="F29" s="302">
        <v>2</v>
      </c>
      <c r="G29" s="3">
        <v>2</v>
      </c>
      <c r="H29" s="302">
        <v>1</v>
      </c>
      <c r="I29" s="302">
        <v>1</v>
      </c>
      <c r="J29" s="302">
        <v>1</v>
      </c>
      <c r="K29" s="302">
        <v>2</v>
      </c>
      <c r="L29" s="302">
        <v>2</v>
      </c>
      <c r="M29" s="302">
        <v>2</v>
      </c>
      <c r="N29" s="303">
        <v>3</v>
      </c>
      <c r="O29" s="3">
        <v>2</v>
      </c>
      <c r="P29" s="304">
        <v>1</v>
      </c>
      <c r="Q29" s="313">
        <f t="shared" si="0"/>
        <v>22</v>
      </c>
      <c r="R29" s="102"/>
      <c r="S29" s="31" t="s">
        <v>698</v>
      </c>
      <c r="T29" s="162" t="str">
        <f>+VLOOKUP(B29,'Open Source Tools'!$E$6:$W$201,17,FALSE)</f>
        <v>https://openems.io/</v>
      </c>
    </row>
    <row r="30" spans="1:20" ht="16" x14ac:dyDescent="0.4">
      <c r="A30" s="203">
        <f>_xlfn.XLOOKUP(B30, 'Open Source Tools'!$E$3:$E$206, 'Open Source Tools'!$A$3:$A$206, "Not found")</f>
        <v>198</v>
      </c>
      <c r="B30" s="151" t="s">
        <v>3080</v>
      </c>
      <c r="C30" s="232" t="str">
        <f>VLOOKUP($B30,'Heat Map'!$B$4:$D$33, 3,FALSE)</f>
        <v>Community-Based Energy Access Programs</v>
      </c>
      <c r="D30" s="230" t="e">
        <f>VLOOKUP($B30,#REF!, 9,FALSE)</f>
        <v>#REF!</v>
      </c>
      <c r="E30" s="302">
        <v>2</v>
      </c>
      <c r="F30" s="302">
        <v>2</v>
      </c>
      <c r="G30" s="3">
        <v>2</v>
      </c>
      <c r="H30" s="303">
        <v>3</v>
      </c>
      <c r="I30" s="3">
        <v>2</v>
      </c>
      <c r="J30" s="302">
        <v>2</v>
      </c>
      <c r="K30" s="3">
        <v>1</v>
      </c>
      <c r="L30" s="302">
        <v>1</v>
      </c>
      <c r="M30" s="3">
        <v>1</v>
      </c>
      <c r="N30" s="302">
        <v>1</v>
      </c>
      <c r="O30" s="3">
        <v>1</v>
      </c>
      <c r="P30" s="304">
        <v>0</v>
      </c>
      <c r="Q30" s="313">
        <f>SUM(E30:P30)</f>
        <v>18</v>
      </c>
      <c r="R30" s="102"/>
      <c r="S30" s="31" t="s">
        <v>3092</v>
      </c>
      <c r="T30" s="162" t="str">
        <f>+VLOOKUP(B30,'Open Source Tools'!$E$6:$W$201,17,FALSE)</f>
        <v>https://reopt.nrel.gov/tool</v>
      </c>
    </row>
    <row r="31" spans="1:20" ht="16" customHeight="1" x14ac:dyDescent="0.35">
      <c r="A31" s="203">
        <f>_xlfn.XLOOKUP(B31, 'Open Source Tools'!$E$3:$E$206, 'Open Source Tools'!$A$3:$A$206, "Not found")</f>
        <v>36</v>
      </c>
      <c r="B31" s="9" t="s">
        <v>958</v>
      </c>
      <c r="C31" s="232" t="str">
        <f>VLOOKUP($B31,'Heat Map'!$B$4:$D$33, 3,FALSE)</f>
        <v>Mobile Apps</v>
      </c>
      <c r="D31" s="230" t="e">
        <f>VLOOKUP($B31,#REF!, 9,FALSE)</f>
        <v>#REF!</v>
      </c>
      <c r="E31" s="302">
        <v>2</v>
      </c>
      <c r="F31" s="301">
        <v>3</v>
      </c>
      <c r="G31" s="3">
        <v>2</v>
      </c>
      <c r="H31" s="302">
        <v>0</v>
      </c>
      <c r="I31" s="302">
        <v>1</v>
      </c>
      <c r="J31" s="302">
        <v>1</v>
      </c>
      <c r="K31" s="302">
        <v>0</v>
      </c>
      <c r="L31" s="302">
        <v>0</v>
      </c>
      <c r="M31" s="302">
        <v>2</v>
      </c>
      <c r="N31" s="303">
        <v>3</v>
      </c>
      <c r="O31" s="3">
        <v>1</v>
      </c>
      <c r="P31" s="304">
        <v>0</v>
      </c>
      <c r="Q31" s="313">
        <f t="shared" si="0"/>
        <v>15</v>
      </c>
      <c r="R31" s="102"/>
      <c r="S31" s="382" t="s">
        <v>969</v>
      </c>
      <c r="T31" s="162" t="str">
        <f>+VLOOKUP(B31,'Open Source Tools'!$E$6:$W$201,17,FALSE)</f>
        <v>https://www.home-assistant.io/</v>
      </c>
    </row>
    <row r="32" spans="1:20" ht="16" customHeight="1" x14ac:dyDescent="0.35">
      <c r="A32" s="203">
        <f>_xlfn.XLOOKUP(B32, 'Open Source Tools'!$E$3:$E$206, 'Open Source Tools'!$A$3:$A$206, "Not found")</f>
        <v>200</v>
      </c>
      <c r="B32" s="9" t="s">
        <v>1891</v>
      </c>
      <c r="C32" s="232" t="str">
        <f>VLOOKUP($B32,'Heat Map'!$B$4:$D$33, 3,FALSE)</f>
        <v>Smart Charging Algorithms</v>
      </c>
      <c r="E32" s="302">
        <v>3</v>
      </c>
      <c r="F32" s="302">
        <v>2</v>
      </c>
      <c r="G32" s="3">
        <v>1</v>
      </c>
      <c r="H32" s="302">
        <v>3</v>
      </c>
      <c r="I32" s="3">
        <v>0</v>
      </c>
      <c r="J32" s="302">
        <v>0</v>
      </c>
      <c r="K32" s="3">
        <v>0</v>
      </c>
      <c r="L32" s="302">
        <v>3</v>
      </c>
      <c r="M32" s="3">
        <v>3</v>
      </c>
      <c r="N32" s="302">
        <v>3</v>
      </c>
      <c r="O32" s="3">
        <v>0</v>
      </c>
      <c r="P32" s="304">
        <v>1</v>
      </c>
      <c r="Q32" s="313">
        <f>SUM(E32:P32)</f>
        <v>19</v>
      </c>
      <c r="R32" s="102"/>
      <c r="S32" s="383" t="s">
        <v>1902</v>
      </c>
      <c r="T32" s="319" t="s">
        <v>1903</v>
      </c>
    </row>
    <row r="33" spans="1:32" ht="16.5" customHeight="1" x14ac:dyDescent="0.4">
      <c r="A33" s="203">
        <f>_xlfn.XLOOKUP(B33, 'Open Source Tools'!$E$3:$E$206, 'Open Source Tools'!$A$3:$A$206, "Not found")</f>
        <v>191</v>
      </c>
      <c r="B33" s="151" t="s">
        <v>2978</v>
      </c>
      <c r="C33" s="232" t="str">
        <f>VLOOKUP($B33,'Heat Map'!$B$4:$D$33, 3,FALSE)</f>
        <v>Weather Forecasting Tools</v>
      </c>
      <c r="D33" s="230" t="e">
        <f>VLOOKUP($B33,#REF!, 9,FALSE)</f>
        <v>#REF!</v>
      </c>
      <c r="E33" s="302">
        <v>0</v>
      </c>
      <c r="F33" s="302">
        <v>0</v>
      </c>
      <c r="G33" s="3">
        <v>0</v>
      </c>
      <c r="H33" s="302">
        <v>0</v>
      </c>
      <c r="I33" s="3">
        <v>1</v>
      </c>
      <c r="J33" s="302">
        <v>1</v>
      </c>
      <c r="K33" s="3">
        <v>0</v>
      </c>
      <c r="L33" s="302">
        <v>0</v>
      </c>
      <c r="M33" s="3">
        <v>0</v>
      </c>
      <c r="N33" s="302">
        <v>0</v>
      </c>
      <c r="O33" s="3">
        <v>0</v>
      </c>
      <c r="P33" s="304">
        <v>0</v>
      </c>
      <c r="Q33" s="313">
        <f t="shared" si="0"/>
        <v>2</v>
      </c>
      <c r="R33" s="102"/>
      <c r="S33" s="31" t="s">
        <v>2989</v>
      </c>
      <c r="T33" s="162" t="str">
        <f>+VLOOKUP(B33,'Open Source Tools'!$E$6:$W$201,17,FALSE)</f>
        <v>https://wetterdienst.eobs.org/</v>
      </c>
    </row>
    <row r="34" spans="1:32" ht="16.5" thickBot="1" x14ac:dyDescent="0.4">
      <c r="A34" s="226">
        <f>_xlfn.XLOOKUP(B34, 'Open Source Tools'!$E$3:$E$206, 'Open Source Tools'!$A$3:$A$206, "Not found")</f>
        <v>28</v>
      </c>
      <c r="B34" s="384" t="s">
        <v>851</v>
      </c>
      <c r="C34" s="378" t="str">
        <f>VLOOKUP($B34,'Heat Map'!$B$4:$D$33, 3,FALSE)</f>
        <v>Community Energy Management Systems (CEMS)</v>
      </c>
      <c r="D34" s="275" t="e">
        <f>VLOOKUP($B34,#REF!, 9,FALSE)</f>
        <v>#REF!</v>
      </c>
      <c r="E34" s="307">
        <v>3</v>
      </c>
      <c r="F34" s="22">
        <v>2</v>
      </c>
      <c r="G34" s="248">
        <v>1</v>
      </c>
      <c r="H34" s="22">
        <v>1</v>
      </c>
      <c r="I34" s="248">
        <v>1</v>
      </c>
      <c r="J34" s="22">
        <v>1</v>
      </c>
      <c r="K34" s="248">
        <v>2</v>
      </c>
      <c r="L34" s="22">
        <v>2</v>
      </c>
      <c r="M34" s="308">
        <v>3</v>
      </c>
      <c r="N34" s="116">
        <v>3</v>
      </c>
      <c r="O34" s="248">
        <v>2</v>
      </c>
      <c r="P34" s="165">
        <v>1</v>
      </c>
      <c r="Q34" s="314">
        <f t="shared" si="0"/>
        <v>22</v>
      </c>
      <c r="S34" s="31" t="s">
        <v>861</v>
      </c>
      <c r="T34" s="162" t="str">
        <f>+VLOOKUP(B34,'Open Source Tools'!$E$6:$W$201,17,FALSE)</f>
        <v>https://openremote.io/</v>
      </c>
    </row>
    <row r="35" spans="1:32" x14ac:dyDescent="0.35">
      <c r="A35" s="102"/>
      <c r="B35" s="1"/>
      <c r="C35" s="127"/>
      <c r="E35" s="3"/>
      <c r="F35" s="3"/>
      <c r="G35" s="3"/>
      <c r="H35" s="3"/>
      <c r="I35" s="3"/>
      <c r="J35" s="3"/>
      <c r="K35" s="3"/>
      <c r="L35" s="3"/>
      <c r="M35" s="3"/>
      <c r="N35" s="3"/>
      <c r="O35" s="3"/>
      <c r="P35" s="3"/>
      <c r="Q35" s="102"/>
    </row>
    <row r="36" spans="1:32" ht="14.5" customHeight="1" x14ac:dyDescent="0.35">
      <c r="B36" s="360"/>
      <c r="C36" s="360"/>
      <c r="D36" s="360"/>
      <c r="E36" s="360"/>
      <c r="F36" s="360"/>
      <c r="G36" s="360"/>
      <c r="H36" s="360"/>
      <c r="I36" s="360"/>
      <c r="J36" s="360"/>
      <c r="K36" s="360"/>
      <c r="L36" s="360"/>
      <c r="M36" s="360"/>
      <c r="N36" s="360"/>
      <c r="O36" s="360"/>
      <c r="P36" s="360"/>
      <c r="Q36" s="360"/>
      <c r="R36" s="360"/>
      <c r="T36" s="360"/>
    </row>
    <row r="37" spans="1:32" ht="36" customHeight="1" thickBot="1" x14ac:dyDescent="0.4">
      <c r="A37" s="585" t="s">
        <v>3312</v>
      </c>
      <c r="B37" s="586"/>
      <c r="C37" s="587"/>
      <c r="D37" s="360"/>
      <c r="E37" s="360"/>
      <c r="F37" s="360"/>
      <c r="G37" s="360"/>
      <c r="H37" s="360"/>
      <c r="I37" s="360"/>
      <c r="J37" s="360"/>
      <c r="K37" s="360"/>
      <c r="L37" s="360"/>
      <c r="M37" s="360"/>
      <c r="N37" s="360"/>
      <c r="O37" s="360"/>
      <c r="P37" s="360"/>
      <c r="Q37" s="360"/>
      <c r="R37" s="360"/>
      <c r="S37" s="360"/>
      <c r="T37" s="360"/>
      <c r="AD37" s="8"/>
      <c r="AE37" s="8"/>
      <c r="AF37" s="8"/>
    </row>
    <row r="38" spans="1:32" ht="19.5" customHeight="1" x14ac:dyDescent="0.35">
      <c r="A38" s="553" t="s">
        <v>34</v>
      </c>
      <c r="B38" s="555" t="s">
        <v>3165</v>
      </c>
      <c r="C38" s="555" t="s">
        <v>3166</v>
      </c>
      <c r="D38" s="557" t="s">
        <v>3175</v>
      </c>
      <c r="E38" s="22">
        <v>1</v>
      </c>
      <c r="F38" s="22">
        <v>2</v>
      </c>
      <c r="G38" s="248">
        <v>3</v>
      </c>
      <c r="H38" s="22">
        <v>4</v>
      </c>
      <c r="I38" s="248">
        <v>5</v>
      </c>
      <c r="J38" s="22">
        <v>6</v>
      </c>
      <c r="K38" s="248">
        <v>7</v>
      </c>
      <c r="L38" s="22">
        <v>8</v>
      </c>
      <c r="M38" s="248">
        <v>9</v>
      </c>
      <c r="N38" s="22">
        <v>10</v>
      </c>
      <c r="O38" s="165">
        <v>11</v>
      </c>
      <c r="P38" s="165">
        <v>12</v>
      </c>
      <c r="Q38" s="559" t="s">
        <v>3277</v>
      </c>
      <c r="R38" s="3"/>
      <c r="S38" s="479"/>
      <c r="T38" s="479"/>
    </row>
    <row r="39" spans="1:32" ht="48.65" customHeight="1" x14ac:dyDescent="0.35">
      <c r="A39" s="561"/>
      <c r="B39" s="562"/>
      <c r="C39" s="562"/>
      <c r="D39" s="563"/>
      <c r="E39" s="385" t="s">
        <v>123</v>
      </c>
      <c r="F39" s="385" t="s">
        <v>128</v>
      </c>
      <c r="G39" s="260" t="s">
        <v>131</v>
      </c>
      <c r="H39" s="385" t="s">
        <v>441</v>
      </c>
      <c r="I39" s="260" t="s">
        <v>3269</v>
      </c>
      <c r="J39" s="385" t="s">
        <v>3270</v>
      </c>
      <c r="K39" s="260" t="s">
        <v>275</v>
      </c>
      <c r="L39" s="385" t="s">
        <v>3271</v>
      </c>
      <c r="M39" s="260" t="s">
        <v>326</v>
      </c>
      <c r="N39" s="385" t="s">
        <v>3272</v>
      </c>
      <c r="O39" s="386" t="s">
        <v>3288</v>
      </c>
      <c r="P39" s="387" t="s">
        <v>3384</v>
      </c>
      <c r="Q39" s="564"/>
      <c r="R39" s="3"/>
      <c r="S39" s="479"/>
      <c r="T39" s="479"/>
    </row>
    <row r="40" spans="1:32" ht="16" customHeight="1" x14ac:dyDescent="0.35">
      <c r="A40" s="202">
        <f>_xlfn.XLOOKUP(B40, 'Open Source Tools'!$E$3:$E$206, 'Open Source Tools'!$A$3:$A$206, "Not found")</f>
        <v>96</v>
      </c>
      <c r="B40" s="231" t="s">
        <v>3281</v>
      </c>
      <c r="C40" s="399" t="str">
        <f>VLOOKUP($B40,'Heat Map'!$B$4:$D$33, 3,FALSE)</f>
        <v>Community Energy Management Systems (CEMS)</v>
      </c>
      <c r="D40" s="276" t="str">
        <f>VLOOKUP($B40,'Heat Map'!$B$4:$D$33, 3,FALSE)</f>
        <v>Community Energy Management Systems (CEMS)</v>
      </c>
      <c r="E40" s="311">
        <v>3</v>
      </c>
      <c r="F40" s="70">
        <v>2</v>
      </c>
      <c r="G40" s="251">
        <v>3</v>
      </c>
      <c r="H40" s="70">
        <v>2</v>
      </c>
      <c r="I40" s="81">
        <v>1</v>
      </c>
      <c r="J40" s="70">
        <v>2</v>
      </c>
      <c r="K40" s="81">
        <v>2</v>
      </c>
      <c r="L40" s="70">
        <v>2</v>
      </c>
      <c r="M40" s="81">
        <v>1</v>
      </c>
      <c r="N40" s="70">
        <v>1</v>
      </c>
      <c r="O40" s="379">
        <v>2</v>
      </c>
      <c r="P40" s="379">
        <v>1</v>
      </c>
      <c r="Q40" s="390">
        <f>SUM(E40:P40)</f>
        <v>22</v>
      </c>
      <c r="R40" s="102"/>
      <c r="T40" s="162"/>
    </row>
    <row r="41" spans="1:32" ht="16" x14ac:dyDescent="0.35">
      <c r="A41" s="203">
        <f>_xlfn.XLOOKUP(B41, 'Open Source Tools'!$E$3:$E$206, 'Open Source Tools'!$A$3:$A$206, "Not found")</f>
        <v>107</v>
      </c>
      <c r="B41" s="9" t="s">
        <v>1845</v>
      </c>
      <c r="C41" s="398" t="str">
        <f>VLOOKUP($B41,'Heat Map'!$B$4:$D$33, 3,FALSE)</f>
        <v>Home Energy Management Systems (HEMS)</v>
      </c>
      <c r="D41" s="396" t="e">
        <f>VLOOKUP($B41,#REF!, 9,FALSE)</f>
        <v>#REF!</v>
      </c>
      <c r="E41" s="302">
        <v>1</v>
      </c>
      <c r="F41" s="301">
        <v>3</v>
      </c>
      <c r="G41" s="302">
        <v>1</v>
      </c>
      <c r="H41" s="302">
        <v>0</v>
      </c>
      <c r="I41" s="3">
        <v>0</v>
      </c>
      <c r="J41" s="302">
        <v>1</v>
      </c>
      <c r="K41" s="3">
        <v>1</v>
      </c>
      <c r="L41" s="302">
        <v>0</v>
      </c>
      <c r="M41" s="3">
        <v>2</v>
      </c>
      <c r="N41" s="303">
        <v>3</v>
      </c>
      <c r="O41" s="304">
        <v>1</v>
      </c>
      <c r="P41" s="304">
        <v>0</v>
      </c>
      <c r="Q41" s="391">
        <f t="shared" ref="Q41:Q51" si="2">SUM(E41:P41)</f>
        <v>13</v>
      </c>
      <c r="R41" s="102"/>
      <c r="T41" s="162"/>
    </row>
    <row r="42" spans="1:32" ht="16" x14ac:dyDescent="0.4">
      <c r="A42" s="203">
        <f>_xlfn.XLOOKUP(B42, 'Open Source Tools'!$E$3:$E$206, 'Open Source Tools'!$A$3:$A$206, "Not found")</f>
        <v>114</v>
      </c>
      <c r="B42" s="151" t="s">
        <v>1961</v>
      </c>
      <c r="C42" s="398" t="str">
        <f>VLOOKUP($B42,'Heat Map'!$B$4:$D$33, 3,FALSE)</f>
        <v>Demand Response Systems</v>
      </c>
      <c r="D42" s="396" t="e">
        <f>VLOOKUP($B42,#REF!, 9,FALSE)</f>
        <v>#REF!</v>
      </c>
      <c r="E42" s="302">
        <v>2</v>
      </c>
      <c r="F42" s="302">
        <v>1</v>
      </c>
      <c r="G42" s="301">
        <v>3</v>
      </c>
      <c r="H42" s="304">
        <v>0</v>
      </c>
      <c r="I42" s="304">
        <v>0</v>
      </c>
      <c r="J42" s="304">
        <v>1</v>
      </c>
      <c r="K42" s="302">
        <v>1</v>
      </c>
      <c r="L42" s="3">
        <v>1</v>
      </c>
      <c r="M42" s="302">
        <v>1</v>
      </c>
      <c r="N42" s="302">
        <v>1</v>
      </c>
      <c r="O42" s="304">
        <v>1</v>
      </c>
      <c r="P42" s="304">
        <v>0</v>
      </c>
      <c r="Q42" s="391">
        <f t="shared" si="2"/>
        <v>12</v>
      </c>
      <c r="R42" s="102"/>
      <c r="T42" s="162"/>
    </row>
    <row r="43" spans="1:32" ht="16" x14ac:dyDescent="0.35">
      <c r="A43" s="203">
        <f>_xlfn.XLOOKUP(B43, 'Open Source Tools'!$E$3:$E$206, 'Open Source Tools'!$A$3:$A$206, "Not found")</f>
        <v>99</v>
      </c>
      <c r="B43" s="9" t="s">
        <v>1725</v>
      </c>
      <c r="C43" s="398" t="str">
        <f>VLOOKUP($B43,'Heat Map'!$B$4:$D$33, 3,FALSE)</f>
        <v>Community level Modelling</v>
      </c>
      <c r="D43" s="396" t="e">
        <f>VLOOKUP($B43,#REF!, 9,FALSE)</f>
        <v>#REF!</v>
      </c>
      <c r="E43" s="302">
        <v>1</v>
      </c>
      <c r="F43" s="302">
        <v>0</v>
      </c>
      <c r="G43" s="302">
        <v>2</v>
      </c>
      <c r="H43" s="301">
        <v>3</v>
      </c>
      <c r="I43" s="3">
        <v>2</v>
      </c>
      <c r="J43" s="302">
        <v>2</v>
      </c>
      <c r="K43" s="3">
        <v>2</v>
      </c>
      <c r="L43" s="302">
        <v>1</v>
      </c>
      <c r="M43" s="3">
        <v>1</v>
      </c>
      <c r="N43" s="302">
        <v>2</v>
      </c>
      <c r="O43" s="304">
        <v>1</v>
      </c>
      <c r="P43" s="304">
        <v>0</v>
      </c>
      <c r="Q43" s="391">
        <f t="shared" si="2"/>
        <v>17</v>
      </c>
    </row>
    <row r="44" spans="1:32" ht="16" x14ac:dyDescent="0.35">
      <c r="A44" s="203">
        <f>_xlfn.XLOOKUP(B44, 'Open Source Tools'!$E$3:$E$206, 'Open Source Tools'!$A$3:$A$206, "Not found")</f>
        <v>47</v>
      </c>
      <c r="B44" s="9" t="s">
        <v>1101</v>
      </c>
      <c r="C44" s="398" t="str">
        <f>VLOOKUP($B44,'Heat Map'!$B$4:$D$33, 3,FALSE)</f>
        <v>AI-Powered Energy Forecasting</v>
      </c>
      <c r="D44" s="396" t="e">
        <f>VLOOKUP($B44,#REF!, 9,FALSE)</f>
        <v>#REF!</v>
      </c>
      <c r="E44" s="302">
        <v>2</v>
      </c>
      <c r="F44" s="302">
        <v>1</v>
      </c>
      <c r="G44" s="3">
        <v>2</v>
      </c>
      <c r="H44" s="302">
        <v>2</v>
      </c>
      <c r="I44" s="301">
        <v>3</v>
      </c>
      <c r="J44" s="302">
        <v>3</v>
      </c>
      <c r="K44" s="302">
        <v>1</v>
      </c>
      <c r="L44" s="302">
        <v>1</v>
      </c>
      <c r="M44" s="302">
        <v>1</v>
      </c>
      <c r="N44" s="302">
        <v>2</v>
      </c>
      <c r="O44" s="304">
        <v>1</v>
      </c>
      <c r="P44" s="304">
        <v>0</v>
      </c>
      <c r="Q44" s="391">
        <f t="shared" si="2"/>
        <v>19</v>
      </c>
    </row>
    <row r="45" spans="1:32" ht="16" customHeight="1" x14ac:dyDescent="0.35">
      <c r="A45" s="203">
        <f>_xlfn.XLOOKUP(B45, 'Open Source Tools'!$E$3:$E$206, 'Open Source Tools'!$A$3:$A$206, "Not found")</f>
        <v>53</v>
      </c>
      <c r="B45" s="9" t="s">
        <v>1177</v>
      </c>
      <c r="C45" s="398" t="str">
        <f>VLOOKUP($B45,'Heat Map'!$B$4:$D$33, 3,FALSE)</f>
        <v>Machine Learning Algorithms</v>
      </c>
      <c r="D45" s="396" t="e">
        <f>VLOOKUP($B45,#REF!, 9,FALSE)</f>
        <v>#REF!</v>
      </c>
      <c r="E45" s="302">
        <v>0</v>
      </c>
      <c r="F45" s="302">
        <v>0</v>
      </c>
      <c r="G45" s="3">
        <v>0</v>
      </c>
      <c r="H45" s="302">
        <v>0</v>
      </c>
      <c r="I45" s="303">
        <v>3</v>
      </c>
      <c r="J45" s="301">
        <v>3</v>
      </c>
      <c r="K45" s="303">
        <v>3</v>
      </c>
      <c r="L45" s="302">
        <v>1</v>
      </c>
      <c r="M45" s="302">
        <v>0</v>
      </c>
      <c r="N45" s="302">
        <v>1</v>
      </c>
      <c r="O45" s="304">
        <v>0</v>
      </c>
      <c r="P45" s="304">
        <v>0</v>
      </c>
      <c r="Q45" s="391">
        <f t="shared" si="2"/>
        <v>11</v>
      </c>
    </row>
    <row r="46" spans="1:32" ht="16" customHeight="1" x14ac:dyDescent="0.35">
      <c r="A46" s="203">
        <f>_xlfn.XLOOKUP(B46, 'Open Source Tools'!$E$3:$E$206, 'Open Source Tools'!$A$3:$A$206, "Not found")</f>
        <v>57</v>
      </c>
      <c r="B46" s="9" t="s">
        <v>1221</v>
      </c>
      <c r="C46" s="398" t="str">
        <f>VLOOKUP($B46,'Heat Map'!$B$4:$D$33, 3,FALSE)</f>
        <v>AI-Driven Energy Optimization</v>
      </c>
      <c r="D46" s="396" t="e">
        <f>VLOOKUP($B46,#REF!, 9,FALSE)</f>
        <v>#REF!</v>
      </c>
      <c r="E46" s="302">
        <v>2</v>
      </c>
      <c r="F46" s="302">
        <v>1</v>
      </c>
      <c r="G46" s="3">
        <v>2</v>
      </c>
      <c r="H46" s="302">
        <v>3</v>
      </c>
      <c r="I46" s="302">
        <v>2</v>
      </c>
      <c r="J46" s="302">
        <v>2</v>
      </c>
      <c r="K46" s="301">
        <v>3</v>
      </c>
      <c r="L46" s="302">
        <v>2</v>
      </c>
      <c r="M46" s="302">
        <v>1</v>
      </c>
      <c r="N46" s="302">
        <v>2</v>
      </c>
      <c r="O46" s="304">
        <v>1</v>
      </c>
      <c r="P46" s="304">
        <v>0</v>
      </c>
      <c r="Q46" s="391">
        <f t="shared" si="2"/>
        <v>21</v>
      </c>
    </row>
    <row r="47" spans="1:32" ht="16" customHeight="1" x14ac:dyDescent="0.35">
      <c r="A47" s="203">
        <f>_xlfn.XLOOKUP(B47, 'Open Source Tools'!$E$3:$E$206, 'Open Source Tools'!$A$3:$A$206, "Not found")</f>
        <v>61</v>
      </c>
      <c r="B47" s="9" t="s">
        <v>1266</v>
      </c>
      <c r="C47" s="398" t="str">
        <f>VLOOKUP($B47,'Heat Map'!$B$4:$D$33, 3,FALSE)</f>
        <v>Anomaly Detection in Energy Systems</v>
      </c>
      <c r="D47" s="396" t="e">
        <f>VLOOKUP($B47,#REF!, 9,FALSE)</f>
        <v>#REF!</v>
      </c>
      <c r="E47" s="302">
        <v>0</v>
      </c>
      <c r="F47" s="302">
        <v>0</v>
      </c>
      <c r="G47" s="3">
        <v>0</v>
      </c>
      <c r="H47" s="302">
        <v>0</v>
      </c>
      <c r="I47" s="302">
        <v>0</v>
      </c>
      <c r="J47" s="303">
        <v>3</v>
      </c>
      <c r="K47" s="302">
        <v>1</v>
      </c>
      <c r="L47" s="301">
        <v>3</v>
      </c>
      <c r="M47" s="302">
        <v>0</v>
      </c>
      <c r="N47" s="302">
        <v>1</v>
      </c>
      <c r="O47" s="304">
        <v>0</v>
      </c>
      <c r="P47" s="304">
        <v>0</v>
      </c>
      <c r="Q47" s="391">
        <f t="shared" si="2"/>
        <v>8</v>
      </c>
    </row>
    <row r="48" spans="1:32" ht="16" customHeight="1" x14ac:dyDescent="0.35">
      <c r="A48" s="203">
        <f>_xlfn.XLOOKUP(B48, 'Open Source Tools'!$E$3:$E$206, 'Open Source Tools'!$A$3:$A$206, "Not found")</f>
        <v>73</v>
      </c>
      <c r="B48" s="9" t="s">
        <v>1411</v>
      </c>
      <c r="C48" s="398" t="str">
        <f>VLOOKUP($B48,'Heat Map'!$B$4:$D$33, 3,FALSE)</f>
        <v>Energy Dashboards</v>
      </c>
      <c r="D48" s="396" t="e">
        <f>VLOOKUP($B48,#REF!, 9,FALSE)</f>
        <v>#REF!</v>
      </c>
      <c r="E48" s="302">
        <v>2</v>
      </c>
      <c r="F48" s="302">
        <v>2</v>
      </c>
      <c r="G48" s="3">
        <v>2</v>
      </c>
      <c r="H48" s="302">
        <v>1</v>
      </c>
      <c r="I48" s="302">
        <v>2</v>
      </c>
      <c r="J48" s="302">
        <v>2</v>
      </c>
      <c r="K48" s="302">
        <v>1</v>
      </c>
      <c r="L48" s="302">
        <v>2</v>
      </c>
      <c r="M48" s="301">
        <v>3</v>
      </c>
      <c r="N48" s="303">
        <v>3</v>
      </c>
      <c r="O48" s="304">
        <v>1</v>
      </c>
      <c r="P48" s="304">
        <v>1</v>
      </c>
      <c r="Q48" s="391">
        <f t="shared" si="2"/>
        <v>22</v>
      </c>
    </row>
    <row r="49" spans="1:17" ht="16" customHeight="1" x14ac:dyDescent="0.35">
      <c r="A49" s="203">
        <f>_xlfn.XLOOKUP(B49, 'Open Source Tools'!$E$3:$E$206, 'Open Source Tools'!$A$3:$A$206, "Not found")</f>
        <v>74</v>
      </c>
      <c r="B49" s="9" t="s">
        <v>1423</v>
      </c>
      <c r="C49" s="398" t="str">
        <f>VLOOKUP($B49,'Heat Map'!$B$4:$D$33, 3,FALSE)</f>
        <v>Data Visualization Tools</v>
      </c>
      <c r="D49" s="396" t="e">
        <f>VLOOKUP($B49,#REF!, 9,FALSE)</f>
        <v>#REF!</v>
      </c>
      <c r="E49" s="302">
        <v>0</v>
      </c>
      <c r="F49" s="302">
        <v>0</v>
      </c>
      <c r="G49" s="3">
        <v>0</v>
      </c>
      <c r="H49" s="302">
        <v>0</v>
      </c>
      <c r="I49" s="302">
        <v>0</v>
      </c>
      <c r="J49" s="302">
        <v>0</v>
      </c>
      <c r="K49" s="302">
        <v>0</v>
      </c>
      <c r="L49" s="302">
        <v>1</v>
      </c>
      <c r="M49" s="303">
        <v>3</v>
      </c>
      <c r="N49" s="301">
        <v>3</v>
      </c>
      <c r="O49" s="249">
        <v>0</v>
      </c>
      <c r="P49" s="304">
        <v>0</v>
      </c>
      <c r="Q49" s="391">
        <f t="shared" si="2"/>
        <v>7</v>
      </c>
    </row>
    <row r="50" spans="1:17" ht="16" customHeight="1" x14ac:dyDescent="0.35">
      <c r="A50" s="203">
        <f>_xlfn.XLOOKUP(B50, 'Open Source Tools'!$E$3:$E$206, 'Open Source Tools'!$A$3:$A$206, "Not found")</f>
        <v>88</v>
      </c>
      <c r="B50" s="9" t="s">
        <v>1595</v>
      </c>
      <c r="C50" s="398" t="str">
        <f>VLOOKUP($B50,'Heat Map'!$B$4:$D$33, 3,FALSE)</f>
        <v>Energy Sharing Apps</v>
      </c>
      <c r="D50" s="397" t="e">
        <f>VLOOKUP($B50,#REF!, 9,FALSE)</f>
        <v>#REF!</v>
      </c>
      <c r="E50" s="302">
        <v>1</v>
      </c>
      <c r="F50" s="302">
        <v>0</v>
      </c>
      <c r="G50" s="3">
        <v>0</v>
      </c>
      <c r="H50" s="302">
        <v>2</v>
      </c>
      <c r="I50" s="302">
        <v>0</v>
      </c>
      <c r="J50" s="302">
        <v>0</v>
      </c>
      <c r="K50" s="302">
        <v>1</v>
      </c>
      <c r="L50" s="302">
        <v>0</v>
      </c>
      <c r="M50" s="302">
        <v>1</v>
      </c>
      <c r="N50" s="302">
        <v>1</v>
      </c>
      <c r="O50" s="304">
        <v>3</v>
      </c>
      <c r="P50" s="304">
        <v>2</v>
      </c>
      <c r="Q50" s="391">
        <f t="shared" si="2"/>
        <v>11</v>
      </c>
    </row>
    <row r="51" spans="1:17" ht="16" customHeight="1" thickBot="1" x14ac:dyDescent="0.4">
      <c r="A51" s="229">
        <f>_xlfn.XLOOKUP(B51, 'Open Source Tools'!$E$3:$E$206, 'Open Source Tools'!$A$3:$A$206, "Not found")</f>
        <v>182</v>
      </c>
      <c r="B51" s="246" t="s">
        <v>2861</v>
      </c>
      <c r="C51" s="400" t="str">
        <f>VLOOKUP($B51,'Heat Map'!$B$4:$D$33, 3,FALSE)</f>
        <v>Automated Billing Platforms (Dynamic pricing Billing systems)</v>
      </c>
      <c r="D51" s="109"/>
      <c r="E51" s="312">
        <v>1</v>
      </c>
      <c r="F51" s="312">
        <v>0</v>
      </c>
      <c r="G51" s="312">
        <v>0</v>
      </c>
      <c r="H51" s="312">
        <v>0</v>
      </c>
      <c r="I51" s="312">
        <v>0</v>
      </c>
      <c r="J51" s="312">
        <v>0</v>
      </c>
      <c r="K51" s="312">
        <v>0</v>
      </c>
      <c r="L51" s="312">
        <v>0</v>
      </c>
      <c r="M51" s="250">
        <v>0</v>
      </c>
      <c r="N51" s="312">
        <v>2</v>
      </c>
      <c r="O51" s="249">
        <v>0</v>
      </c>
      <c r="P51" s="249">
        <v>3</v>
      </c>
      <c r="Q51" s="392">
        <f t="shared" si="2"/>
        <v>6</v>
      </c>
    </row>
    <row r="52" spans="1:17" ht="16" customHeight="1" x14ac:dyDescent="0.35"/>
    <row r="53" spans="1:17" ht="16" customHeight="1" x14ac:dyDescent="0.35"/>
    <row r="54" spans="1:17" ht="16" customHeight="1" x14ac:dyDescent="0.35"/>
    <row r="55" spans="1:17" ht="16" customHeight="1" x14ac:dyDescent="0.35"/>
    <row r="56" spans="1:17" ht="16" customHeight="1" x14ac:dyDescent="0.35"/>
    <row r="57" spans="1:17" ht="16" customHeight="1" x14ac:dyDescent="0.35"/>
    <row r="58" spans="1:17" ht="16" customHeight="1" x14ac:dyDescent="0.35"/>
    <row r="59" spans="1:17" ht="16" customHeight="1" x14ac:dyDescent="0.35"/>
    <row r="60" spans="1:17" ht="16" customHeight="1" x14ac:dyDescent="0.35"/>
    <row r="61" spans="1:17" ht="16" customHeight="1" x14ac:dyDescent="0.35"/>
    <row r="62" spans="1:17" ht="16" customHeight="1" x14ac:dyDescent="0.35"/>
    <row r="63" spans="1:17" ht="16" customHeight="1" x14ac:dyDescent="0.35"/>
    <row r="64" spans="1:17" ht="16" customHeight="1" x14ac:dyDescent="0.35"/>
    <row r="65" spans="9:10" ht="16" customHeight="1" x14ac:dyDescent="0.35"/>
    <row r="66" spans="9:10" ht="16" customHeight="1" x14ac:dyDescent="0.35"/>
    <row r="67" spans="9:10" ht="16" customHeight="1" x14ac:dyDescent="0.35"/>
    <row r="75" spans="9:10" x14ac:dyDescent="0.35">
      <c r="I75" s="164"/>
      <c r="J75" s="164"/>
    </row>
    <row r="114" spans="45:61" x14ac:dyDescent="0.35">
      <c r="BH114" s="172"/>
      <c r="BI114" s="172"/>
    </row>
    <row r="115" spans="45:61" x14ac:dyDescent="0.35">
      <c r="BH115" s="172"/>
      <c r="BI115" s="172"/>
    </row>
    <row r="116" spans="45:61" ht="35.15" customHeight="1" x14ac:dyDescent="0.35">
      <c r="AT116" s="339"/>
      <c r="AU116" s="339"/>
      <c r="AV116" s="339"/>
      <c r="AW116" s="339"/>
      <c r="AX116" s="339"/>
      <c r="AY116" s="339"/>
      <c r="AZ116" s="339"/>
      <c r="BA116" s="339"/>
      <c r="BB116" s="339"/>
      <c r="BC116" s="339"/>
      <c r="BD116" s="339"/>
      <c r="BH116" s="172"/>
      <c r="BI116" s="172"/>
    </row>
    <row r="117" spans="45:61" ht="91" customHeight="1" x14ac:dyDescent="0.35">
      <c r="AS117" s="340"/>
      <c r="AT117" s="341"/>
      <c r="AU117" s="341"/>
      <c r="AV117" s="341"/>
      <c r="AW117" s="341"/>
      <c r="AX117" s="341"/>
      <c r="AY117" s="341"/>
      <c r="AZ117" s="341"/>
      <c r="BA117" s="341"/>
      <c r="BB117" s="341"/>
      <c r="BC117" s="341"/>
      <c r="BD117" s="341"/>
      <c r="BE117" s="342"/>
    </row>
    <row r="118" spans="45:61" ht="40" customHeight="1" x14ac:dyDescent="0.35">
      <c r="AS118" s="343"/>
      <c r="AT118" s="344"/>
      <c r="AU118" s="344"/>
      <c r="AV118" s="344"/>
      <c r="AW118" s="344"/>
      <c r="AX118" s="344"/>
      <c r="AY118" s="344"/>
      <c r="AZ118" s="344"/>
      <c r="BA118" s="344"/>
      <c r="BB118" s="344"/>
      <c r="BC118" s="344"/>
      <c r="BD118" s="344"/>
      <c r="BE118" s="342"/>
    </row>
    <row r="119" spans="45:61" ht="40" customHeight="1" x14ac:dyDescent="0.35">
      <c r="AS119" s="343"/>
      <c r="AT119" s="344"/>
      <c r="AU119" s="344"/>
      <c r="AV119" s="344"/>
      <c r="AW119" s="344"/>
      <c r="AX119" s="344"/>
      <c r="AY119" s="344"/>
      <c r="AZ119" s="344"/>
      <c r="BA119" s="344"/>
      <c r="BB119" s="344"/>
      <c r="BC119" s="344"/>
      <c r="BD119" s="344"/>
      <c r="BE119" s="342"/>
    </row>
    <row r="120" spans="45:61" ht="40" customHeight="1" x14ac:dyDescent="0.35">
      <c r="AS120" s="343"/>
      <c r="AT120" s="344"/>
      <c r="AU120" s="344"/>
      <c r="AV120" s="344"/>
      <c r="AW120" s="344"/>
      <c r="AX120" s="344"/>
      <c r="AY120" s="344"/>
      <c r="AZ120" s="344"/>
      <c r="BA120" s="344"/>
      <c r="BB120" s="344"/>
      <c r="BC120" s="344"/>
      <c r="BD120" s="344"/>
      <c r="BE120" s="342"/>
    </row>
    <row r="121" spans="45:61" ht="40" customHeight="1" x14ac:dyDescent="0.35">
      <c r="AS121" s="343"/>
      <c r="AT121" s="344"/>
      <c r="AU121" s="344"/>
      <c r="AV121" s="344"/>
      <c r="AW121" s="344"/>
      <c r="AX121" s="344"/>
      <c r="AY121" s="344"/>
      <c r="AZ121" s="344"/>
      <c r="BA121" s="344"/>
      <c r="BB121" s="344"/>
      <c r="BC121" s="344"/>
      <c r="BD121" s="344"/>
      <c r="BE121" s="342"/>
    </row>
    <row r="122" spans="45:61" ht="40" customHeight="1" x14ac:dyDescent="0.35">
      <c r="AS122" s="343"/>
      <c r="AT122" s="344"/>
      <c r="AU122" s="344"/>
      <c r="AV122" s="344"/>
      <c r="AW122" s="344"/>
      <c r="AX122" s="344"/>
      <c r="AY122" s="344"/>
      <c r="AZ122" s="344"/>
      <c r="BA122" s="344"/>
      <c r="BB122" s="344"/>
      <c r="BC122" s="344"/>
      <c r="BD122" s="344"/>
      <c r="BE122" s="342"/>
    </row>
    <row r="123" spans="45:61" ht="40" customHeight="1" x14ac:dyDescent="0.35">
      <c r="AS123" s="343"/>
      <c r="AT123" s="344"/>
      <c r="AU123" s="344"/>
      <c r="AV123" s="344"/>
      <c r="AW123" s="344"/>
      <c r="AX123" s="344"/>
      <c r="AY123" s="344"/>
      <c r="AZ123" s="344"/>
      <c r="BA123" s="344"/>
      <c r="BB123" s="344"/>
      <c r="BC123" s="344"/>
      <c r="BD123" s="344"/>
      <c r="BE123" s="342"/>
    </row>
    <row r="124" spans="45:61" ht="40" customHeight="1" x14ac:dyDescent="0.35">
      <c r="AS124" s="343"/>
      <c r="AT124" s="344"/>
      <c r="AU124" s="344"/>
      <c r="AV124" s="344"/>
      <c r="AW124" s="344"/>
      <c r="AX124" s="344"/>
      <c r="AY124" s="344"/>
      <c r="AZ124" s="344"/>
      <c r="BA124" s="344"/>
      <c r="BB124" s="344"/>
      <c r="BC124" s="344"/>
      <c r="BD124" s="344"/>
      <c r="BE124" s="342"/>
    </row>
    <row r="125" spans="45:61" ht="40" customHeight="1" x14ac:dyDescent="0.35">
      <c r="AS125" s="343"/>
      <c r="AT125" s="344"/>
      <c r="AU125" s="344"/>
      <c r="AV125" s="344"/>
      <c r="AW125" s="344"/>
      <c r="AX125" s="344"/>
      <c r="AY125" s="344"/>
      <c r="AZ125" s="344"/>
      <c r="BA125" s="344"/>
      <c r="BB125" s="344"/>
      <c r="BC125" s="344"/>
      <c r="BD125" s="344"/>
      <c r="BE125" s="342"/>
    </row>
    <row r="126" spans="45:61" ht="40" customHeight="1" x14ac:dyDescent="0.35">
      <c r="AS126" s="343"/>
      <c r="AT126" s="344"/>
      <c r="AU126" s="344"/>
      <c r="AV126" s="344"/>
      <c r="AW126" s="344"/>
      <c r="AX126" s="344"/>
      <c r="AY126" s="344"/>
      <c r="AZ126" s="344"/>
      <c r="BA126" s="344"/>
      <c r="BB126" s="344"/>
      <c r="BC126" s="344"/>
      <c r="BD126" s="344"/>
      <c r="BE126" s="342"/>
    </row>
    <row r="127" spans="45:61" ht="40" customHeight="1" x14ac:dyDescent="0.35">
      <c r="AS127" s="343"/>
      <c r="AT127" s="344"/>
      <c r="AU127" s="344"/>
      <c r="AV127" s="344"/>
      <c r="AW127" s="344"/>
      <c r="AX127" s="344"/>
      <c r="AY127" s="344"/>
      <c r="AZ127" s="344"/>
      <c r="BA127" s="344"/>
      <c r="BB127" s="344"/>
      <c r="BC127" s="344"/>
      <c r="BD127" s="344"/>
      <c r="BE127" s="342"/>
    </row>
    <row r="128" spans="45:61" ht="40" customHeight="1" x14ac:dyDescent="0.35">
      <c r="AS128" s="343"/>
      <c r="AT128" s="344"/>
      <c r="AU128" s="344"/>
      <c r="AV128" s="344"/>
      <c r="AW128" s="344"/>
      <c r="AX128" s="344"/>
      <c r="AY128" s="344"/>
      <c r="AZ128" s="344"/>
      <c r="BA128" s="344"/>
      <c r="BB128" s="344"/>
      <c r="BC128" s="344"/>
      <c r="BD128" s="344"/>
      <c r="BE128" s="342"/>
    </row>
    <row r="129" spans="60:60" x14ac:dyDescent="0.35">
      <c r="BH129" s="172"/>
    </row>
    <row r="130" spans="60:60" x14ac:dyDescent="0.35">
      <c r="BH130" s="172"/>
    </row>
    <row r="131" spans="60:60" x14ac:dyDescent="0.35">
      <c r="BH131" s="172"/>
    </row>
    <row r="132" spans="60:60" x14ac:dyDescent="0.35">
      <c r="BH132" s="172"/>
    </row>
    <row r="133" spans="60:60" x14ac:dyDescent="0.35">
      <c r="BH133" s="172"/>
    </row>
    <row r="134" spans="60:60" x14ac:dyDescent="0.35">
      <c r="BH134" s="172"/>
    </row>
    <row r="163" spans="45:56" ht="64.5" customHeight="1" x14ac:dyDescent="0.35">
      <c r="AT163" s="345"/>
      <c r="AU163" s="345"/>
      <c r="AV163" s="346"/>
      <c r="AW163" s="345"/>
      <c r="AX163" s="345"/>
      <c r="AY163" s="345"/>
      <c r="AZ163" s="345"/>
      <c r="BA163" s="345"/>
      <c r="BB163" s="345"/>
      <c r="BC163" s="345"/>
      <c r="BD163" s="345"/>
    </row>
    <row r="164" spans="45:56" ht="15.5" x14ac:dyDescent="0.35">
      <c r="AS164" s="341"/>
    </row>
    <row r="165" spans="45:56" ht="15.5" x14ac:dyDescent="0.35">
      <c r="AS165" s="341"/>
    </row>
    <row r="166" spans="45:56" ht="15.5" x14ac:dyDescent="0.35">
      <c r="AS166" s="341"/>
    </row>
    <row r="167" spans="45:56" ht="15.5" x14ac:dyDescent="0.35">
      <c r="AS167" s="341"/>
    </row>
    <row r="168" spans="45:56" ht="15.5" x14ac:dyDescent="0.35">
      <c r="AS168" s="341"/>
    </row>
    <row r="169" spans="45:56" ht="15.5" x14ac:dyDescent="0.35">
      <c r="AS169" s="341"/>
    </row>
    <row r="170" spans="45:56" ht="15.5" x14ac:dyDescent="0.35">
      <c r="AS170" s="341"/>
    </row>
    <row r="171" spans="45:56" ht="15.5" x14ac:dyDescent="0.35">
      <c r="AS171" s="341"/>
    </row>
    <row r="172" spans="45:56" ht="15.5" x14ac:dyDescent="0.35">
      <c r="AS172" s="341"/>
    </row>
    <row r="173" spans="45:56" ht="15.5" x14ac:dyDescent="0.35">
      <c r="AS173" s="341"/>
    </row>
    <row r="174" spans="45:56" ht="15.5" x14ac:dyDescent="0.35">
      <c r="AS174" s="341"/>
    </row>
  </sheetData>
  <mergeCells count="17">
    <mergeCell ref="A37:C37"/>
    <mergeCell ref="S38:S39"/>
    <mergeCell ref="T38:T39"/>
    <mergeCell ref="Y4:Z4"/>
    <mergeCell ref="A1:T2"/>
    <mergeCell ref="A3:A4"/>
    <mergeCell ref="B3:B4"/>
    <mergeCell ref="C3:C4"/>
    <mergeCell ref="D3:D4"/>
    <mergeCell ref="Q3:Q4"/>
    <mergeCell ref="S3:S4"/>
    <mergeCell ref="T3:T4"/>
    <mergeCell ref="A38:A39"/>
    <mergeCell ref="B38:B39"/>
    <mergeCell ref="C38:C39"/>
    <mergeCell ref="D38:D39"/>
    <mergeCell ref="Q38:Q39"/>
  </mergeCells>
  <conditionalFormatting sqref="B5">
    <cfRule type="duplicateValues" dxfId="297" priority="79"/>
  </conditionalFormatting>
  <conditionalFormatting sqref="B6">
    <cfRule type="duplicateValues" dxfId="296" priority="58"/>
  </conditionalFormatting>
  <conditionalFormatting sqref="B7">
    <cfRule type="duplicateValues" dxfId="295" priority="57"/>
  </conditionalFormatting>
  <conditionalFormatting sqref="B8">
    <cfRule type="duplicateValues" dxfId="294" priority="50"/>
  </conditionalFormatting>
  <conditionalFormatting sqref="B9">
    <cfRule type="duplicateValues" dxfId="293" priority="74"/>
  </conditionalFormatting>
  <conditionalFormatting sqref="B10">
    <cfRule type="duplicateValues" dxfId="292" priority="73"/>
  </conditionalFormatting>
  <conditionalFormatting sqref="B11">
    <cfRule type="duplicateValues" dxfId="291" priority="208"/>
  </conditionalFormatting>
  <conditionalFormatting sqref="B12">
    <cfRule type="duplicateValues" dxfId="290" priority="71"/>
  </conditionalFormatting>
  <conditionalFormatting sqref="B13">
    <cfRule type="duplicateValues" dxfId="289" priority="70"/>
  </conditionalFormatting>
  <conditionalFormatting sqref="B14">
    <cfRule type="duplicateValues" dxfId="288" priority="52"/>
  </conditionalFormatting>
  <conditionalFormatting sqref="B15">
    <cfRule type="duplicateValues" dxfId="287" priority="75"/>
  </conditionalFormatting>
  <conditionalFormatting sqref="B16">
    <cfRule type="duplicateValues" dxfId="286" priority="64"/>
  </conditionalFormatting>
  <conditionalFormatting sqref="B17">
    <cfRule type="duplicateValues" dxfId="285" priority="78"/>
  </conditionalFormatting>
  <conditionalFormatting sqref="B18">
    <cfRule type="duplicateValues" dxfId="284" priority="62"/>
  </conditionalFormatting>
  <conditionalFormatting sqref="B19">
    <cfRule type="duplicateValues" dxfId="283" priority="77"/>
  </conditionalFormatting>
  <conditionalFormatting sqref="B20">
    <cfRule type="duplicateValues" dxfId="282" priority="63"/>
  </conditionalFormatting>
  <conditionalFormatting sqref="B21">
    <cfRule type="duplicateValues" dxfId="281" priority="76"/>
  </conditionalFormatting>
  <conditionalFormatting sqref="B22">
    <cfRule type="duplicateValues" dxfId="280" priority="59"/>
  </conditionalFormatting>
  <conditionalFormatting sqref="B23">
    <cfRule type="duplicateValues" dxfId="279" priority="69"/>
  </conditionalFormatting>
  <conditionalFormatting sqref="B24">
    <cfRule type="duplicateValues" dxfId="278" priority="68"/>
  </conditionalFormatting>
  <conditionalFormatting sqref="B25">
    <cfRule type="duplicateValues" dxfId="277" priority="56"/>
  </conditionalFormatting>
  <conditionalFormatting sqref="B26">
    <cfRule type="duplicateValues" dxfId="276" priority="55"/>
  </conditionalFormatting>
  <conditionalFormatting sqref="B27">
    <cfRule type="duplicateValues" dxfId="275" priority="54"/>
  </conditionalFormatting>
  <conditionalFormatting sqref="B28">
    <cfRule type="duplicateValues" dxfId="274" priority="61"/>
  </conditionalFormatting>
  <conditionalFormatting sqref="B29">
    <cfRule type="duplicateValues" dxfId="273" priority="60"/>
  </conditionalFormatting>
  <conditionalFormatting sqref="B30">
    <cfRule type="duplicateValues" dxfId="272" priority="67"/>
  </conditionalFormatting>
  <conditionalFormatting sqref="B31">
    <cfRule type="duplicateValues" dxfId="271" priority="65"/>
  </conditionalFormatting>
  <conditionalFormatting sqref="B32">
    <cfRule type="duplicateValues" dxfId="270" priority="7"/>
  </conditionalFormatting>
  <conditionalFormatting sqref="B33">
    <cfRule type="duplicateValues" dxfId="269" priority="51"/>
  </conditionalFormatting>
  <conditionalFormatting sqref="B34">
    <cfRule type="duplicateValues" dxfId="268" priority="66"/>
  </conditionalFormatting>
  <conditionalFormatting sqref="B40">
    <cfRule type="duplicateValues" dxfId="267" priority="49"/>
  </conditionalFormatting>
  <conditionalFormatting sqref="B41">
    <cfRule type="duplicateValues" dxfId="266" priority="48"/>
  </conditionalFormatting>
  <conditionalFormatting sqref="B42">
    <cfRule type="duplicateValues" dxfId="265" priority="47"/>
  </conditionalFormatting>
  <conditionalFormatting sqref="B43">
    <cfRule type="duplicateValues" dxfId="264" priority="46"/>
  </conditionalFormatting>
  <conditionalFormatting sqref="B44">
    <cfRule type="duplicateValues" dxfId="263" priority="43"/>
  </conditionalFormatting>
  <conditionalFormatting sqref="B45">
    <cfRule type="duplicateValues" dxfId="262" priority="45"/>
  </conditionalFormatting>
  <conditionalFormatting sqref="B46">
    <cfRule type="duplicateValues" dxfId="261" priority="42"/>
  </conditionalFormatting>
  <conditionalFormatting sqref="B47">
    <cfRule type="duplicateValues" dxfId="260" priority="44"/>
  </conditionalFormatting>
  <conditionalFormatting sqref="B48">
    <cfRule type="duplicateValues" dxfId="259" priority="41"/>
  </conditionalFormatting>
  <conditionalFormatting sqref="B49">
    <cfRule type="duplicateValues" dxfId="258" priority="40"/>
  </conditionalFormatting>
  <conditionalFormatting sqref="B50">
    <cfRule type="duplicateValues" dxfId="257" priority="39"/>
  </conditionalFormatting>
  <conditionalFormatting sqref="B51">
    <cfRule type="duplicateValues" dxfId="256" priority="8"/>
  </conditionalFormatting>
  <conditionalFormatting sqref="E5:P35">
    <cfRule type="colorScale" priority="357">
      <colorScale>
        <cfvo type="min"/>
        <cfvo type="max"/>
        <color theme="0"/>
        <color rgb="FF88428A"/>
      </colorScale>
    </cfRule>
  </conditionalFormatting>
  <conditionalFormatting sqref="E40:P50">
    <cfRule type="colorScale" priority="38">
      <colorScale>
        <cfvo type="min"/>
        <cfvo type="max"/>
        <color rgb="FFFCFCFF"/>
        <color rgb="FF88428A"/>
      </colorScale>
    </cfRule>
  </conditionalFormatting>
  <conditionalFormatting sqref="E51:P51">
    <cfRule type="colorScale" priority="3">
      <colorScale>
        <cfvo type="min"/>
        <cfvo type="max"/>
        <color theme="0"/>
        <color rgb="FF88428A"/>
      </colorScale>
    </cfRule>
  </conditionalFormatting>
  <conditionalFormatting sqref="Q5:Q35">
    <cfRule type="colorScale" priority="359">
      <colorScale>
        <cfvo type="min"/>
        <cfvo type="max"/>
        <color theme="0" tint="-4.9989318521683403E-2"/>
        <color rgb="FF88428A"/>
      </colorScale>
    </cfRule>
    <cfRule type="colorScale" priority="360">
      <colorScale>
        <cfvo type="min"/>
        <cfvo type="max"/>
        <color rgb="FFFCFCFF"/>
        <color rgb="FF63BE7B"/>
      </colorScale>
    </cfRule>
  </conditionalFormatting>
  <conditionalFormatting sqref="Q40:Q50">
    <cfRule type="colorScale" priority="12">
      <colorScale>
        <cfvo type="min"/>
        <cfvo type="max"/>
        <color theme="0"/>
        <color rgb="FF88428A"/>
      </colorScale>
    </cfRule>
  </conditionalFormatting>
  <conditionalFormatting sqref="Q40:Q51">
    <cfRule type="colorScale" priority="4">
      <colorScale>
        <cfvo type="min"/>
        <cfvo type="max"/>
        <color theme="0" tint="-4.9989318521683403E-2"/>
        <color rgb="FF88428A"/>
      </colorScale>
    </cfRule>
    <cfRule type="colorScale" priority="1">
      <colorScale>
        <cfvo type="num" val="0"/>
        <cfvo type="num" val="36"/>
        <color theme="0"/>
        <color rgb="FF88428A"/>
      </colorScale>
    </cfRule>
  </conditionalFormatting>
  <conditionalFormatting sqref="Q51">
    <cfRule type="colorScale" priority="5">
      <colorScale>
        <cfvo type="min"/>
        <cfvo type="max"/>
        <color rgb="FFFCFCFF"/>
        <color rgb="FF63BE7B"/>
      </colorScale>
    </cfRule>
  </conditionalFormatting>
  <conditionalFormatting sqref="S32">
    <cfRule type="duplicateValues" dxfId="255" priority="6"/>
  </conditionalFormatting>
  <conditionalFormatting sqref="Y5:Y8">
    <cfRule type="colorScale" priority="11">
      <colorScale>
        <cfvo type="min"/>
        <cfvo type="max"/>
        <color theme="0"/>
        <color rgb="FF88428A"/>
      </colorScale>
    </cfRule>
  </conditionalFormatting>
  <conditionalFormatting sqref="Y6:Z6">
    <cfRule type="expression" dxfId="254" priority="363">
      <formula>#REF!=1</formula>
    </cfRule>
    <cfRule type="expression" dxfId="253" priority="361">
      <formula>#REF!=1</formula>
    </cfRule>
    <cfRule type="expression" dxfId="252" priority="362">
      <formula>#REF!=1</formula>
    </cfRule>
  </conditionalFormatting>
  <conditionalFormatting sqref="AD37">
    <cfRule type="duplicateValues" dxfId="251" priority="148"/>
  </conditionalFormatting>
  <conditionalFormatting sqref="AD37:AF37">
    <cfRule type="expression" dxfId="250" priority="152">
      <formula>#REF!=1</formula>
    </cfRule>
    <cfRule type="expression" dxfId="249" priority="153">
      <formula>#REF!=1</formula>
    </cfRule>
    <cfRule type="expression" dxfId="248" priority="154">
      <formula>#REF!=1</formula>
    </cfRule>
  </conditionalFormatting>
  <conditionalFormatting sqref="AE37">
    <cfRule type="duplicateValues" dxfId="247" priority="147"/>
  </conditionalFormatting>
  <conditionalFormatting sqref="AF37">
    <cfRule type="duplicateValues" dxfId="246" priority="146"/>
  </conditionalFormatting>
  <conditionalFormatting sqref="AS118">
    <cfRule type="duplicateValues" dxfId="245" priority="37"/>
  </conditionalFormatting>
  <conditionalFormatting sqref="AS119">
    <cfRule type="duplicateValues" dxfId="244" priority="36"/>
  </conditionalFormatting>
  <conditionalFormatting sqref="AS120">
    <cfRule type="duplicateValues" dxfId="243" priority="35"/>
  </conditionalFormatting>
  <conditionalFormatting sqref="AS121">
    <cfRule type="duplicateValues" dxfId="242" priority="34"/>
  </conditionalFormatting>
  <conditionalFormatting sqref="AS122">
    <cfRule type="duplicateValues" dxfId="241" priority="31"/>
  </conditionalFormatting>
  <conditionalFormatting sqref="AS123">
    <cfRule type="duplicateValues" dxfId="240" priority="33"/>
  </conditionalFormatting>
  <conditionalFormatting sqref="AS124">
    <cfRule type="duplicateValues" dxfId="239" priority="30"/>
  </conditionalFormatting>
  <conditionalFormatting sqref="AS125">
    <cfRule type="duplicateValues" dxfId="238" priority="32"/>
  </conditionalFormatting>
  <conditionalFormatting sqref="AS126">
    <cfRule type="duplicateValues" dxfId="237" priority="29"/>
  </conditionalFormatting>
  <conditionalFormatting sqref="AS127">
    <cfRule type="duplicateValues" dxfId="236" priority="28"/>
  </conditionalFormatting>
  <conditionalFormatting sqref="AS128">
    <cfRule type="duplicateValues" dxfId="235" priority="27"/>
  </conditionalFormatting>
  <conditionalFormatting sqref="AT163">
    <cfRule type="duplicateValues" dxfId="234" priority="25"/>
  </conditionalFormatting>
  <conditionalFormatting sqref="AT118:BD128">
    <cfRule type="colorScale" priority="26">
      <colorScale>
        <cfvo type="min"/>
        <cfvo type="max"/>
        <color rgb="FFFCFCFF"/>
        <color rgb="FF63BE7B"/>
      </colorScale>
    </cfRule>
  </conditionalFormatting>
  <conditionalFormatting sqref="AU163">
    <cfRule type="duplicateValues" dxfId="233" priority="24"/>
  </conditionalFormatting>
  <conditionalFormatting sqref="AV163">
    <cfRule type="duplicateValues" dxfId="232" priority="23"/>
  </conditionalFormatting>
  <conditionalFormatting sqref="AW163">
    <cfRule type="duplicateValues" dxfId="231" priority="22"/>
  </conditionalFormatting>
  <conditionalFormatting sqref="AX163">
    <cfRule type="duplicateValues" dxfId="230" priority="19"/>
  </conditionalFormatting>
  <conditionalFormatting sqref="AY163">
    <cfRule type="duplicateValues" dxfId="229" priority="21"/>
  </conditionalFormatting>
  <conditionalFormatting sqref="AZ163">
    <cfRule type="duplicateValues" dxfId="228" priority="18"/>
  </conditionalFormatting>
  <conditionalFormatting sqref="BA163">
    <cfRule type="duplicateValues" dxfId="227" priority="20"/>
  </conditionalFormatting>
  <conditionalFormatting sqref="BB163">
    <cfRule type="duplicateValues" dxfId="226" priority="17"/>
  </conditionalFormatting>
  <conditionalFormatting sqref="BC163">
    <cfRule type="duplicateValues" dxfId="225" priority="16"/>
  </conditionalFormatting>
  <conditionalFormatting sqref="BD163">
    <cfRule type="duplicateValues" dxfId="224" priority="15"/>
  </conditionalFormatting>
  <conditionalFormatting sqref="BE118:BE128">
    <cfRule type="colorScale" priority="14">
      <colorScale>
        <cfvo type="min"/>
        <cfvo type="max"/>
        <color rgb="FFFCFCFF"/>
        <color rgb="FF63BE7B"/>
      </colorScale>
    </cfRule>
  </conditionalFormatting>
  <conditionalFormatting sqref="Q5:Q34">
    <cfRule type="colorScale" priority="2">
      <colorScale>
        <cfvo type="num" val="0"/>
        <cfvo type="num" val="36"/>
        <color theme="0"/>
        <color rgb="FF88428A"/>
      </colorScale>
    </cfRule>
  </conditionalFormatting>
  <hyperlinks>
    <hyperlink ref="S9" r:id="rId1" xr:uid="{4429EC50-E97F-4E2C-8B75-A2F9C3D1B541}"/>
    <hyperlink ref="S13" r:id="rId2" xr:uid="{992A4C8C-667F-45BE-97B3-D30CE9BE4A69}"/>
    <hyperlink ref="S5" r:id="rId3" xr:uid="{118554B4-5FA1-4F4F-956D-0AB045037A1F}"/>
    <hyperlink ref="S25" r:id="rId4" xr:uid="{013BDC42-35F2-482F-9D93-0236F2271924}"/>
    <hyperlink ref="S31" r:id="rId5" xr:uid="{AC5CC0F8-75FA-47AB-B81C-ED9848D871C5}"/>
    <hyperlink ref="S23" r:id="rId6" xr:uid="{A454B046-23EC-43E0-A6DB-7854C359ED00}"/>
    <hyperlink ref="S32" r:id="rId7" xr:uid="{2452D68E-B108-4CD0-BD66-4D10B9524922}"/>
    <hyperlink ref="T32" r:id="rId8" xr:uid="{1E93F9A6-C8A2-4CD6-B465-F6CE03E2BECB}"/>
  </hyperlinks>
  <pageMargins left="0.7" right="0.7" top="0.75" bottom="0.75" header="0.3" footer="0.3"/>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ae15b1a-c213-4264-bccc-2fb313a3ee53">
      <Terms xmlns="http://schemas.microsoft.com/office/infopath/2007/PartnerControls"/>
    </lcf76f155ced4ddcb4097134ff3c332f>
    <TaxCatchAll xmlns="6ced0a0f-6133-483b-8290-0cde1c993b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243F5583715B4E8D13EC44F100F57A" ma:contentTypeVersion="12" ma:contentTypeDescription="Create a new document." ma:contentTypeScope="" ma:versionID="3d9977b813cdb71353858d6fd6e9455f">
  <xsd:schema xmlns:xsd="http://www.w3.org/2001/XMLSchema" xmlns:xs="http://www.w3.org/2001/XMLSchema" xmlns:p="http://schemas.microsoft.com/office/2006/metadata/properties" xmlns:ns2="cae15b1a-c213-4264-bccc-2fb313a3ee53" xmlns:ns3="6ced0a0f-6133-483b-8290-0cde1c993b3c" targetNamespace="http://schemas.microsoft.com/office/2006/metadata/properties" ma:root="true" ma:fieldsID="1581a53815d4a173c8fcc6dcda71c187" ns2:_="" ns3:_="">
    <xsd:import namespace="cae15b1a-c213-4264-bccc-2fb313a3ee53"/>
    <xsd:import namespace="6ced0a0f-6133-483b-8290-0cde1c993b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e15b1a-c213-4264-bccc-2fb313a3ee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e33e80-bf99-4c6b-a161-3b10da3f60c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ed0a0f-6133-483b-8290-0cde1c993b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188c79-174e-40f9-ba36-3f2aaa6db8c3}" ma:internalName="TaxCatchAll" ma:showField="CatchAllData" ma:web="6ced0a0f-6133-483b-8290-0cde1c993b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FBF901-3119-4D30-9634-CC70FDA0FE56}">
  <ds:schemaRefs>
    <ds:schemaRef ds:uri="http://schemas.microsoft.com/sharepoint/v3/contenttype/forms"/>
  </ds:schemaRefs>
</ds:datastoreItem>
</file>

<file path=customXml/itemProps2.xml><?xml version="1.0" encoding="utf-8"?>
<ds:datastoreItem xmlns:ds="http://schemas.openxmlformats.org/officeDocument/2006/customXml" ds:itemID="{55A0F9AF-4876-4C17-B8DE-5B57C0749DAC}">
  <ds:schemaRefs>
    <ds:schemaRef ds:uri="cae15b1a-c213-4264-bccc-2fb313a3ee53"/>
    <ds:schemaRef ds:uri="http://schemas.microsoft.com/office/2006/documentManagement/types"/>
    <ds:schemaRef ds:uri="http://www.w3.org/XML/1998/namespace"/>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6ced0a0f-6133-483b-8290-0cde1c993b3c"/>
    <ds:schemaRef ds:uri="http://schemas.microsoft.com/office/2006/metadata/properties"/>
  </ds:schemaRefs>
</ds:datastoreItem>
</file>

<file path=customXml/itemProps3.xml><?xml version="1.0" encoding="utf-8"?>
<ds:datastoreItem xmlns:ds="http://schemas.openxmlformats.org/officeDocument/2006/customXml" ds:itemID="{5C2DEB02-EEC5-4258-9F96-34A2CCE8326D}"/>
</file>

<file path=docMetadata/LabelInfo.xml><?xml version="1.0" encoding="utf-8"?>
<clbl:labelList xmlns:clbl="http://schemas.microsoft.com/office/2020/mipLabelMetadata">
  <clbl:label id="{a3430b3f-fc81-45e8-bdaf-737270b3d2cf}" enabled="0" method="" siteId="{a3430b3f-fc81-45e8-bdaf-737270b3d2c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Outlook</vt:lpstr>
      <vt:lpstr>Categories List</vt:lpstr>
      <vt:lpstr>Applications List</vt:lpstr>
      <vt:lpstr>Priorities List</vt:lpstr>
      <vt:lpstr>Open Source Tools</vt:lpstr>
      <vt:lpstr>TRL Metrics Score</vt:lpstr>
      <vt:lpstr>TRL per Applications</vt:lpstr>
      <vt:lpstr>Heat Map</vt:lpstr>
      <vt:lpstr>FunctionalityMapping</vt:lpstr>
      <vt:lpstr>Interoperability Assessment</vt:lpstr>
      <vt:lpstr>SUM</vt:lpstr>
      <vt:lpstr>'Applications List'!Print_Area</vt:lpstr>
      <vt:lpstr>'Heat Map'!Print_Area</vt:lpstr>
      <vt:lpstr>'Open Source Tools'!Print_Area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Federica Blasioli</dc:creator>
  <cp:keywords/>
  <dc:description/>
  <cp:lastModifiedBy>Federica Blasioli</cp:lastModifiedBy>
  <cp:revision/>
  <cp:lastPrinted>2025-08-18T08:49:27Z</cp:lastPrinted>
  <dcterms:created xsi:type="dcterms:W3CDTF">2025-07-21T07:55:35Z</dcterms:created>
  <dcterms:modified xsi:type="dcterms:W3CDTF">2025-08-19T07:15:36Z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0x010100E4243F5583715B4E8D13EC44F100F57A</vt:lpwstr>
  </property>
  <property fmtid="{D5CDD505-2E9C-101B-9397-08002B2CF9AE}" pid="3" name="MediaServiceImageTags">
    <vt:lpwstr/>
  </property>
</Properties>
</file>